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R:\PROJ\Client\T\Toledo\24010188G\3.0_Design\3.6_CostEstimate\BRT\"/>
    </mc:Choice>
  </mc:AlternateContent>
  <xr:revisionPtr revIDLastSave="0" documentId="13_ncr:1_{1225E1F9-2559-4139-BB6C-7FA601904007}" xr6:coauthVersionLast="47" xr6:coauthVersionMax="47" xr10:uidLastSave="{00000000-0000-0000-0000-000000000000}"/>
  <bookViews>
    <workbookView xWindow="38280" yWindow="-120" windowWidth="38640" windowHeight="21120" activeTab="2" xr2:uid="{4B52E901-8B0E-45AE-A555-71AF88010C4D}"/>
  </bookViews>
  <sheets>
    <sheet name="Total" sheetId="8" r:id="rId1"/>
    <sheet name="Main at Marina Lofts" sheetId="1" r:id="rId2"/>
    <sheet name="Main at Starr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7" i="8" l="1"/>
  <c r="G66" i="8"/>
  <c r="G65" i="8"/>
  <c r="F29" i="6"/>
  <c r="F30" i="6" s="1"/>
  <c r="F29" i="1"/>
  <c r="F30" i="1" s="1"/>
  <c r="G30" i="8"/>
  <c r="G31" i="8" s="1"/>
  <c r="G61" i="8"/>
  <c r="G60" i="8"/>
  <c r="G1" i="8"/>
  <c r="G57" i="8"/>
  <c r="G56" i="8"/>
  <c r="G55" i="8"/>
  <c r="D51" i="8"/>
  <c r="D50" i="8"/>
  <c r="D49" i="8"/>
  <c r="D48" i="8"/>
  <c r="D47" i="8"/>
  <c r="D46" i="8"/>
  <c r="D45" i="8"/>
  <c r="D44" i="8"/>
  <c r="G44" i="8" s="1"/>
  <c r="D43" i="8"/>
  <c r="G43" i="8" s="1"/>
  <c r="D42" i="8"/>
  <c r="G42" i="8" s="1"/>
  <c r="D41" i="8"/>
  <c r="G41" i="8" s="1"/>
  <c r="D40" i="8"/>
  <c r="G40" i="8" s="1"/>
  <c r="D39" i="8"/>
  <c r="G39" i="8" s="1"/>
  <c r="G27" i="8"/>
  <c r="G26" i="8"/>
  <c r="G25" i="8"/>
  <c r="D20" i="8"/>
  <c r="G20" i="8" s="1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G58" i="8"/>
  <c r="G51" i="8"/>
  <c r="G50" i="8"/>
  <c r="G49" i="8"/>
  <c r="G48" i="8"/>
  <c r="G47" i="8"/>
  <c r="G46" i="8"/>
  <c r="G45" i="8"/>
  <c r="G28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F27" i="1"/>
  <c r="F19" i="1"/>
  <c r="C19" i="1"/>
  <c r="F18" i="1"/>
  <c r="F17" i="1"/>
  <c r="C17" i="1"/>
  <c r="F16" i="1"/>
  <c r="C16" i="1"/>
  <c r="F15" i="1"/>
  <c r="C15" i="1"/>
  <c r="F14" i="1"/>
  <c r="C14" i="1"/>
  <c r="F13" i="1"/>
  <c r="C13" i="1"/>
  <c r="F12" i="1"/>
  <c r="C12" i="1"/>
  <c r="F11" i="1"/>
  <c r="C11" i="1"/>
  <c r="F10" i="1"/>
  <c r="C10" i="1"/>
  <c r="F9" i="1"/>
  <c r="C9" i="1"/>
  <c r="F8" i="1"/>
  <c r="C8" i="1"/>
  <c r="F7" i="1"/>
  <c r="C7" i="1"/>
  <c r="F6" i="1"/>
  <c r="C6" i="1"/>
  <c r="F5" i="1"/>
  <c r="F22" i="1" s="1"/>
  <c r="F28" i="1" s="1"/>
  <c r="F31" i="1" s="1"/>
  <c r="C5" i="1"/>
  <c r="F22" i="6"/>
  <c r="W39" i="1"/>
  <c r="W38" i="1"/>
  <c r="G53" i="8" l="1"/>
  <c r="G23" i="8"/>
  <c r="G59" i="8"/>
  <c r="G62" i="8" s="1"/>
  <c r="G29" i="8"/>
  <c r="G32" i="8" s="1"/>
  <c r="W31" i="1" l="1"/>
  <c r="W24" i="1"/>
  <c r="S11" i="6"/>
  <c r="W12" i="1"/>
  <c r="C17" i="6"/>
  <c r="W33" i="1"/>
  <c r="W27" i="1"/>
  <c r="C14" i="6"/>
  <c r="S25" i="6"/>
  <c r="C16" i="6" s="1"/>
  <c r="F16" i="6" s="1"/>
  <c r="S33" i="6"/>
  <c r="F17" i="6"/>
  <c r="C15" i="6"/>
  <c r="F15" i="6" s="1"/>
  <c r="F14" i="6"/>
  <c r="C13" i="6"/>
  <c r="F13" i="6" s="1"/>
  <c r="C12" i="6"/>
  <c r="F12" i="6" s="1"/>
  <c r="W17" i="1"/>
  <c r="W14" i="1"/>
  <c r="W13" i="1"/>
  <c r="W11" i="1"/>
  <c r="W10" i="1"/>
  <c r="W9" i="1"/>
  <c r="W8" i="1"/>
  <c r="S14" i="6"/>
  <c r="S12" i="6"/>
  <c r="S10" i="6"/>
  <c r="S7" i="6"/>
  <c r="C6" i="6"/>
  <c r="C5" i="6"/>
  <c r="S36" i="6"/>
  <c r="S27" i="6"/>
  <c r="C8" i="6"/>
  <c r="C11" i="6"/>
  <c r="F11" i="6"/>
  <c r="F6" i="6"/>
  <c r="S34" i="6"/>
  <c r="S26" i="6"/>
  <c r="C7" i="6" s="1"/>
  <c r="F7" i="6" s="1"/>
  <c r="S16" i="6"/>
  <c r="F5" i="6" s="1"/>
  <c r="W16" i="1"/>
  <c r="S15" i="6"/>
  <c r="S13" i="6"/>
  <c r="C9" i="6"/>
  <c r="F9" i="6" s="1"/>
  <c r="S9" i="6"/>
  <c r="S8" i="6"/>
  <c r="W15" i="1"/>
  <c r="W25" i="1"/>
  <c r="W32" i="1"/>
  <c r="F8" i="6"/>
  <c r="F10" i="6"/>
  <c r="F27" i="6"/>
  <c r="F28" i="6" l="1"/>
  <c r="F31" i="6" s="1"/>
</calcChain>
</file>

<file path=xl/sharedStrings.xml><?xml version="1.0" encoding="utf-8"?>
<sst xmlns="http://schemas.openxmlformats.org/spreadsheetml/2006/main" count="408" uniqueCount="118">
  <si>
    <t>ITEM</t>
  </si>
  <si>
    <t>DESCRIPTION</t>
  </si>
  <si>
    <t>UNIT</t>
  </si>
  <si>
    <t>UNIT PRICE</t>
  </si>
  <si>
    <t>TOTAL QUANTITY</t>
  </si>
  <si>
    <t>EXCAVATION</t>
  </si>
  <si>
    <t>SY</t>
  </si>
  <si>
    <t>CY</t>
  </si>
  <si>
    <t>FT</t>
  </si>
  <si>
    <t>AGGREGATE BASE</t>
  </si>
  <si>
    <t>MOBILIZATION</t>
  </si>
  <si>
    <t>CONSTRUCTION LAYOUT STAKES</t>
  </si>
  <si>
    <t>LUMP SUM</t>
  </si>
  <si>
    <t>CONSTRUCTION MISC. SUBTOTAL</t>
  </si>
  <si>
    <t>CONSTRUCTION COST SUBTOTAL</t>
  </si>
  <si>
    <t>MAINTENANCE OF TRAFFIC</t>
  </si>
  <si>
    <t>304</t>
  </si>
  <si>
    <t>SF</t>
  </si>
  <si>
    <t>608</t>
  </si>
  <si>
    <t>614</t>
  </si>
  <si>
    <t>624</t>
  </si>
  <si>
    <t>623</t>
  </si>
  <si>
    <t>TOTAL PRICE</t>
  </si>
  <si>
    <t>CURB RAMP</t>
  </si>
  <si>
    <t>407</t>
  </si>
  <si>
    <t>GAL</t>
  </si>
  <si>
    <t>302</t>
  </si>
  <si>
    <t>PAVEMENT REMOVED</t>
  </si>
  <si>
    <t>CF</t>
  </si>
  <si>
    <t>BRT STOP COST ESTIMATE</t>
  </si>
  <si>
    <t>North Black = 100'x12' = 1,200sf</t>
  </si>
  <si>
    <t>North Green = 24'x50' = 1,000sf</t>
  </si>
  <si>
    <t xml:space="preserve">North Magenta = 2x12.5'x24' = 500sf </t>
  </si>
  <si>
    <t>South Black = 100'x12' = 1,200sf</t>
  </si>
  <si>
    <t>South Green = 16'x50' = 500sf</t>
  </si>
  <si>
    <t>South Magenta = 2x12.5'x16' = 250sf</t>
  </si>
  <si>
    <t>Yellow = 750sf</t>
  </si>
  <si>
    <t>Main at Starr BRT stop</t>
  </si>
  <si>
    <t>INFLATION (to 2028)</t>
  </si>
  <si>
    <t>TOTAL CONSTRUCTION COST, 2028 DOLLARS</t>
  </si>
  <si>
    <t>BRT STOP SUBTOTAL</t>
  </si>
  <si>
    <t>Item 452</t>
  </si>
  <si>
    <t>9" NON-REINFORCED CONCRETE PAVEMENT, CLASS QC 1P</t>
  </si>
  <si>
    <t>Item 304</t>
  </si>
  <si>
    <t>6" AGGREGATE BASE</t>
  </si>
  <si>
    <t>Item 605</t>
  </si>
  <si>
    <t>6" SHALLOW PIPE UNDERDRAIN&lt; PER 707.31 W/SOCK</t>
  </si>
  <si>
    <t>12" NON-REINFORCED CONCRETE PAVEMENT, CLASS QC 1P</t>
  </si>
  <si>
    <t>$150/SY</t>
  </si>
  <si>
    <t>$80/CY</t>
  </si>
  <si>
    <t>$10/FT</t>
  </si>
  <si>
    <t>Quantity</t>
  </si>
  <si>
    <t>North Station (50' long x 24' wide)</t>
  </si>
  <si>
    <t>South Station (50' long x 16' wide)</t>
  </si>
  <si>
    <t>Item 608</t>
  </si>
  <si>
    <t>4" CONCRETE WALK</t>
  </si>
  <si>
    <t>$10/SF</t>
  </si>
  <si>
    <t>RETROFIT DOWEL BAR</t>
  </si>
  <si>
    <t>$175/EA</t>
  </si>
  <si>
    <t>12' wide x 100' long = 12" non reinforced concrete on 6" Item 304 with a 1' undercut of 304. 6" underdrain w/sock</t>
  </si>
  <si>
    <t xml:space="preserve">Bus Pads </t>
  </si>
  <si>
    <t>Replace 10' of the existing 5" of asphalt pavement at each end and install polymer modified asphalt joint system</t>
  </si>
  <si>
    <t>POLYMER MODIFIED ASPHALT EXPANSION JOINT SYSTEM</t>
  </si>
  <si>
    <t>Item 846</t>
  </si>
  <si>
    <t>$650/CF</t>
  </si>
  <si>
    <t>Item 442</t>
  </si>
  <si>
    <t>Item 407</t>
  </si>
  <si>
    <t>TRACKLESS TACK COAT</t>
  </si>
  <si>
    <t>$4/gal</t>
  </si>
  <si>
    <t>1.25" ASPHALT CONCRETE, SURFACE COURSE, TYPE 1 (448), PG 70-22M</t>
  </si>
  <si>
    <t>3.75" ASPHALT CONCRETE, INTERMEDIATE COURSE, TYPE 1 (448), PG 70-22M</t>
  </si>
  <si>
    <t>$250/CY</t>
  </si>
  <si>
    <t>$280/CY</t>
  </si>
  <si>
    <t xml:space="preserve">Item 258 </t>
  </si>
  <si>
    <t>12' wide x 100' long = 12" non reinforced concrete (to be placed on existing stone base)</t>
  </si>
  <si>
    <t>Replace 25' of the existing 12" of asphalt pavement at each end and install polymer modified asphalt joint system</t>
  </si>
  <si>
    <t>Item 202</t>
  </si>
  <si>
    <t>$120/SY</t>
  </si>
  <si>
    <t>1.75" ASPHALT CONCRETE, INTERMEDIATE COURSE, TYPE 1 (448), PG 70-22M</t>
  </si>
  <si>
    <t>Item 302</t>
  </si>
  <si>
    <t>8" ASPHALT CONCRETE BASE, PG 64-22</t>
  </si>
  <si>
    <t>$220/CY</t>
  </si>
  <si>
    <t>North Station (50' long x 20' wide)</t>
  </si>
  <si>
    <t>South Station (50' long x 10' wide)</t>
  </si>
  <si>
    <t>$17/SY</t>
  </si>
  <si>
    <t>Item 203</t>
  </si>
  <si>
    <t>$15/CY</t>
  </si>
  <si>
    <t>442</t>
  </si>
  <si>
    <t>452</t>
  </si>
  <si>
    <t>CURB RAMP (DETECTABLE WARNINGS)</t>
  </si>
  <si>
    <t>$25/SF</t>
  </si>
  <si>
    <t>605</t>
  </si>
  <si>
    <t>846</t>
  </si>
  <si>
    <t>6" SHALLOW PIPE UNDERDRAIN, PER 707.31 W/SOCK</t>
  </si>
  <si>
    <r>
      <t>CONSTRUCTION MISC. -</t>
    </r>
    <r>
      <rPr>
        <b/>
        <sz val="10"/>
        <color theme="1"/>
        <rFont val="Segoe UI"/>
        <family val="2"/>
      </rPr>
      <t xml:space="preserve"> Not required if work is included in larger project</t>
    </r>
  </si>
  <si>
    <t>203</t>
  </si>
  <si>
    <t>258</t>
  </si>
  <si>
    <t>EA</t>
  </si>
  <si>
    <t>Main at Marina Lofts BRT stop</t>
  </si>
  <si>
    <t>6" CONCRETE WALK</t>
  </si>
  <si>
    <t>$14/SF</t>
  </si>
  <si>
    <t>Pedestrian Crossing</t>
  </si>
  <si>
    <t>$50/SF</t>
  </si>
  <si>
    <t>Item 632</t>
  </si>
  <si>
    <t>MISC: RRFB  SYSTEM</t>
  </si>
  <si>
    <t>$40000/EA</t>
  </si>
  <si>
    <t xml:space="preserve">CURB RAMP </t>
  </si>
  <si>
    <t>632</t>
  </si>
  <si>
    <t>Main Street at Starr Avenue BRT stop</t>
  </si>
  <si>
    <t>Main Street at Marina Lofts Apartments BRT stop</t>
  </si>
  <si>
    <t>CONSTRUCTION COST CONTINGENCY</t>
  </si>
  <si>
    <t>$5000 if separate</t>
  </si>
  <si>
    <t>$10000 if separate</t>
  </si>
  <si>
    <t>$1000 if separate</t>
  </si>
  <si>
    <t>PROJECT CONSTRUCTION COST, 2028 DOLLARS</t>
  </si>
  <si>
    <t>Total Construction Cost:</t>
  </si>
  <si>
    <t>Main Street at Marina Lofts Apartments BRT Stop</t>
  </si>
  <si>
    <t>Main Street at Starr Avenue BRT Stop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</si>
</sst>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"/>
    <numFmt numFmtId="165" formatCode="&quot;$&quot;#,##0.0"/>
    <numFmt numFmtId="166" formatCode="0.0%"/>
    <numFmt numFmtId="167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0"/>
      <color rgb="FFFFFFFF"/>
      <name val="Segoe UI"/>
      <family val="2"/>
    </font>
    <font>
      <sz val="10"/>
      <color rgb="FFFFFFFF"/>
      <name val="Segoe UI Black"/>
      <family val="2"/>
    </font>
    <font>
      <b/>
      <sz val="10"/>
      <color theme="1"/>
      <name val="Segoe UI"/>
      <family val="2"/>
    </font>
    <font>
      <b/>
      <sz val="12"/>
      <color theme="1"/>
      <name val="Segoe UI"/>
      <family val="2"/>
    </font>
    <font>
      <sz val="8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4E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5" borderId="0" applyNumberFormat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left" vertical="top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/>
    <xf numFmtId="49" fontId="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/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2" fontId="0" fillId="0" borderId="0" xfId="0" applyNumberFormat="1"/>
    <xf numFmtId="49" fontId="2" fillId="0" borderId="3" xfId="0" applyNumberFormat="1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0" fillId="6" borderId="0" xfId="0" applyFill="1"/>
    <xf numFmtId="49" fontId="3" fillId="2" borderId="5" xfId="0" applyNumberFormat="1" applyFont="1" applyFill="1" applyBorder="1" applyAlignment="1">
      <alignment horizontal="center" vertical="center" wrapText="1"/>
    </xf>
    <xf numFmtId="44" fontId="4" fillId="2" borderId="6" xfId="0" applyNumberFormat="1" applyFont="1" applyFill="1" applyBorder="1" applyAlignment="1">
      <alignment horizontal="center" vertical="center" wrapText="1"/>
    </xf>
    <xf numFmtId="1" fontId="4" fillId="2" borderId="6" xfId="0" applyNumberFormat="1" applyFont="1" applyFill="1" applyBorder="1" applyAlignment="1">
      <alignment horizontal="center" vertical="center" wrapText="1"/>
    </xf>
    <xf numFmtId="165" fontId="4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0" fillId="4" borderId="4" xfId="0" applyNumberFormat="1" applyFill="1" applyBorder="1" applyAlignment="1">
      <alignment horizontal="center" vertical="center"/>
    </xf>
    <xf numFmtId="164" fontId="0" fillId="3" borderId="4" xfId="0" applyNumberForma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8" fillId="0" borderId="0" xfId="1" applyFill="1"/>
    <xf numFmtId="166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7" fontId="2" fillId="0" borderId="1" xfId="0" applyNumberFormat="1" applyFont="1" applyBorder="1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49" fontId="0" fillId="0" borderId="10" xfId="0" applyNumberForma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0" fillId="0" borderId="0" xfId="0" applyFont="1"/>
    <xf numFmtId="1" fontId="2" fillId="0" borderId="1" xfId="0" applyNumberFormat="1" applyFont="1" applyBorder="1" applyAlignment="1">
      <alignment horizontal="center"/>
    </xf>
    <xf numFmtId="167" fontId="2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8" xfId="0" applyNumberFormat="1" applyFont="1" applyBorder="1" applyAlignment="1">
      <alignment horizontal="center"/>
    </xf>
    <xf numFmtId="167" fontId="0" fillId="0" borderId="2" xfId="0" applyNumberFormat="1" applyBorder="1" applyAlignment="1">
      <alignment horizontal="center" vertical="center"/>
    </xf>
    <xf numFmtId="0" fontId="11" fillId="0" borderId="0" xfId="0" applyFont="1"/>
    <xf numFmtId="49" fontId="0" fillId="0" borderId="13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14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14" fontId="0" fillId="0" borderId="0" xfId="0" applyNumberFormat="1"/>
    <xf numFmtId="0" fontId="0" fillId="0" borderId="15" xfId="0" applyBorder="1"/>
    <xf numFmtId="164" fontId="1" fillId="3" borderId="18" xfId="0" applyNumberFormat="1" applyFont="1" applyFill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0" fillId="0" borderId="22" xfId="0" applyBorder="1" applyAlignment="1">
      <alignment horizontal="right"/>
    </xf>
    <xf numFmtId="0" fontId="0" fillId="0" borderId="10" xfId="0" applyBorder="1" applyAlignment="1">
      <alignment horizontal="right"/>
    </xf>
    <xf numFmtId="0" fontId="6" fillId="3" borderId="16" xfId="0" applyFont="1" applyFill="1" applyBorder="1" applyAlignment="1">
      <alignment horizontal="right"/>
    </xf>
    <xf numFmtId="0" fontId="6" fillId="3" borderId="17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49" fontId="9" fillId="0" borderId="9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right"/>
    </xf>
    <xf numFmtId="0" fontId="5" fillId="4" borderId="11" xfId="0" applyFont="1" applyFill="1" applyBorder="1" applyAlignment="1">
      <alignment horizontal="right"/>
    </xf>
    <xf numFmtId="0" fontId="5" fillId="4" borderId="2" xfId="0" applyFont="1" applyFill="1" applyBorder="1" applyAlignment="1">
      <alignment horizontal="right"/>
    </xf>
    <xf numFmtId="0" fontId="6" fillId="3" borderId="8" xfId="0" applyFont="1" applyFill="1" applyBorder="1" applyAlignment="1">
      <alignment horizontal="right"/>
    </xf>
    <xf numFmtId="0" fontId="6" fillId="3" borderId="11" xfId="0" applyFont="1" applyFill="1" applyBorder="1" applyAlignment="1">
      <alignment horizontal="right"/>
    </xf>
    <xf numFmtId="0" fontId="6" fillId="3" borderId="2" xfId="0" applyFont="1" applyFill="1" applyBorder="1" applyAlignment="1">
      <alignment horizontal="right"/>
    </xf>
    <xf numFmtId="0" fontId="2" fillId="3" borderId="8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0" fillId="0" borderId="0" xfId="0" applyAlignment="1">
      <alignment horizontal="center" vertical="top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3347085</xdr:colOff>
      <xdr:row>40</xdr:row>
      <xdr:rowOff>146685</xdr:rowOff>
    </xdr:from>
    <xdr:to>
      <xdr:col>22</xdr:col>
      <xdr:colOff>541961</xdr:colOff>
      <xdr:row>63</xdr:row>
      <xdr:rowOff>72986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2917BB-F3FC-E8E0-12C9-1F454E840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2385" y="8233410"/>
          <a:ext cx="13573114" cy="430589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36</xdr:row>
      <xdr:rowOff>57150</xdr:rowOff>
    </xdr:from>
    <xdr:to>
      <xdr:col>1</xdr:col>
      <xdr:colOff>2937756</xdr:colOff>
      <xdr:row>40</xdr:row>
      <xdr:rowOff>186764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3B0E5C2-1667-C258-B6B7-7ED9E549F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1025" y="7381875"/>
          <a:ext cx="2853936" cy="872564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32</xdr:row>
      <xdr:rowOff>185296</xdr:rowOff>
    </xdr:from>
    <xdr:to>
      <xdr:col>1</xdr:col>
      <xdr:colOff>3509011</xdr:colOff>
      <xdr:row>34</xdr:row>
      <xdr:rowOff>110527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DA922DF-6198-16FD-11A2-0AC244532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1026" y="6748021"/>
          <a:ext cx="3429000" cy="2948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37</xdr:row>
      <xdr:rowOff>135255</xdr:rowOff>
    </xdr:from>
    <xdr:to>
      <xdr:col>24</xdr:col>
      <xdr:colOff>34822</xdr:colOff>
      <xdr:row>57</xdr:row>
      <xdr:rowOff>110817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86107F-865E-697B-2DEE-A1FA48BFB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05925" y="7621905"/>
          <a:ext cx="11026672" cy="377222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2</xdr:col>
      <xdr:colOff>719915</xdr:colOff>
      <xdr:row>45</xdr:row>
      <xdr:rowOff>72527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34C0A6-E03F-4672-58A1-775A01AC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300" y="7498080"/>
          <a:ext cx="5311600" cy="1577477"/>
        </a:xfrm>
        <a:prstGeom prst="rect">
          <a:avLst/>
        </a:prstGeom>
      </xdr:spPr>
    </xdr:pic>
    <xdr:clientData/>
  </xdr:twoCellAnchor>
  <xdr:twoCellAnchor editAs="oneCell">
    <xdr:from>
      <xdr:col>1</xdr:col>
      <xdr:colOff>1131094</xdr:colOff>
      <xdr:row>50</xdr:row>
      <xdr:rowOff>154781</xdr:rowOff>
    </xdr:from>
    <xdr:to>
      <xdr:col>6</xdr:col>
      <xdr:colOff>96432</xdr:colOff>
      <xdr:row>70</xdr:row>
      <xdr:rowOff>189403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B2182C8-7CFB-4E91-E4CD-C16B3C2B8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1157" y="10108406"/>
          <a:ext cx="7561650" cy="38446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3DD26-9FBE-454A-96E3-800883EBA093}">
  <sheetPr>
    <pageSetUpPr fitToPage="1"/>
  </sheetPr>
  <dimension ref="B1:G67"/>
  <sheetViews>
    <sheetView zoomScale="90" zoomScaleNormal="90" workbookViewId="0">
      <selection activeCell="I57" sqref="I57"/>
    </sheetView>
  </sheetViews>
  <sheetFormatPr defaultRowHeight="15" x14ac:dyDescent="0.25"/>
  <cols>
    <col min="1" max="1" width="9.42578125" customWidth="1"/>
    <col min="2" max="2" width="9.28515625" customWidth="1"/>
    <col min="3" max="3" width="70.7109375" customWidth="1"/>
    <col min="4" max="7" width="15.7109375" customWidth="1"/>
  </cols>
  <sheetData>
    <row r="1" spans="2:7" ht="15.75" customHeight="1" x14ac:dyDescent="0.25">
      <c r="G1" s="58">
        <f ca="1">TODAY()</f>
        <v>46062</v>
      </c>
    </row>
    <row r="2" spans="2:7" ht="24" customHeight="1" thickBot="1" x14ac:dyDescent="0.3">
      <c r="B2" s="74" t="s">
        <v>109</v>
      </c>
      <c r="C2" s="74"/>
      <c r="D2" s="74"/>
      <c r="E2" s="74"/>
      <c r="F2" s="74"/>
      <c r="G2" s="74"/>
    </row>
    <row r="3" spans="2:7" ht="32.25" customHeight="1" x14ac:dyDescent="0.25">
      <c r="B3" s="25" t="s">
        <v>0</v>
      </c>
      <c r="C3" s="26" t="s">
        <v>1</v>
      </c>
      <c r="D3" s="27" t="s">
        <v>4</v>
      </c>
      <c r="E3" s="26" t="s">
        <v>2</v>
      </c>
      <c r="F3" s="28" t="s">
        <v>3</v>
      </c>
      <c r="G3" s="29" t="s">
        <v>22</v>
      </c>
    </row>
    <row r="4" spans="2:7" ht="15.75" customHeight="1" x14ac:dyDescent="0.25">
      <c r="B4" s="77" t="s">
        <v>29</v>
      </c>
      <c r="C4" s="78"/>
      <c r="D4" s="78"/>
      <c r="E4" s="78"/>
      <c r="F4" s="78"/>
      <c r="G4" s="79"/>
    </row>
    <row r="5" spans="2:7" ht="15.75" customHeight="1" x14ac:dyDescent="0.25">
      <c r="B5" s="69"/>
      <c r="C5" s="70"/>
      <c r="D5" s="70"/>
      <c r="E5" s="70"/>
      <c r="F5" s="70"/>
      <c r="G5" s="71"/>
    </row>
    <row r="6" spans="2:7" ht="15.75" customHeight="1" x14ac:dyDescent="0.25">
      <c r="B6" s="36">
        <v>202</v>
      </c>
      <c r="C6" s="38" t="s">
        <v>27</v>
      </c>
      <c r="D6" s="48">
        <f>'Main at Marina Lofts'!C5</f>
        <v>320</v>
      </c>
      <c r="E6" s="37" t="s">
        <v>6</v>
      </c>
      <c r="F6" s="39">
        <v>17</v>
      </c>
      <c r="G6" s="23">
        <f t="shared" ref="G6:G20" si="0">+D6*F6</f>
        <v>5440</v>
      </c>
    </row>
    <row r="7" spans="2:7" x14ac:dyDescent="0.25">
      <c r="B7" s="22" t="s">
        <v>95</v>
      </c>
      <c r="C7" s="42" t="s">
        <v>5</v>
      </c>
      <c r="D7" s="14">
        <f>'Main at Marina Lofts'!C6</f>
        <v>106.66666666666667</v>
      </c>
      <c r="E7" s="6" t="s">
        <v>7</v>
      </c>
      <c r="F7" s="35">
        <v>15</v>
      </c>
      <c r="G7" s="23">
        <f t="shared" si="0"/>
        <v>1600</v>
      </c>
    </row>
    <row r="8" spans="2:7" x14ac:dyDescent="0.25">
      <c r="B8" s="22" t="s">
        <v>96</v>
      </c>
      <c r="C8" s="42" t="s">
        <v>57</v>
      </c>
      <c r="D8" s="14">
        <f>'Main at Marina Lofts'!C7</f>
        <v>48</v>
      </c>
      <c r="E8" s="6" t="s">
        <v>97</v>
      </c>
      <c r="F8" s="35">
        <v>175</v>
      </c>
      <c r="G8" s="23">
        <f t="shared" si="0"/>
        <v>8400</v>
      </c>
    </row>
    <row r="9" spans="2:7" x14ac:dyDescent="0.25">
      <c r="B9" s="22" t="s">
        <v>16</v>
      </c>
      <c r="C9" t="s">
        <v>9</v>
      </c>
      <c r="D9" s="14">
        <f>'Main at Marina Lofts'!C8</f>
        <v>112.96296296296295</v>
      </c>
      <c r="E9" s="6" t="s">
        <v>7</v>
      </c>
      <c r="F9" s="35">
        <v>80</v>
      </c>
      <c r="G9" s="23">
        <f t="shared" si="0"/>
        <v>9037.0370370370365</v>
      </c>
    </row>
    <row r="10" spans="2:7" x14ac:dyDescent="0.25">
      <c r="B10" s="22" t="s">
        <v>24</v>
      </c>
      <c r="C10" s="5" t="s">
        <v>67</v>
      </c>
      <c r="D10" s="14">
        <f>'Main at Marina Lofts'!C9</f>
        <v>5.3333333333333339</v>
      </c>
      <c r="E10" s="6" t="s">
        <v>25</v>
      </c>
      <c r="F10" s="35">
        <v>4</v>
      </c>
      <c r="G10" s="23">
        <f t="shared" si="0"/>
        <v>21.333333333333336</v>
      </c>
    </row>
    <row r="11" spans="2:7" x14ac:dyDescent="0.25">
      <c r="B11" s="22" t="s">
        <v>87</v>
      </c>
      <c r="C11" s="42" t="s">
        <v>69</v>
      </c>
      <c r="D11" s="14">
        <f>'Main at Marina Lofts'!C10</f>
        <v>1.8518518518518519</v>
      </c>
      <c r="E11" s="6" t="s">
        <v>7</v>
      </c>
      <c r="F11" s="35">
        <v>280</v>
      </c>
      <c r="G11" s="23">
        <f t="shared" si="0"/>
        <v>518.51851851851848</v>
      </c>
    </row>
    <row r="12" spans="2:7" x14ac:dyDescent="0.25">
      <c r="B12" s="22" t="s">
        <v>87</v>
      </c>
      <c r="C12" s="42" t="s">
        <v>70</v>
      </c>
      <c r="D12" s="14">
        <f>'Main at Marina Lofts'!C11</f>
        <v>5.5555555555555554</v>
      </c>
      <c r="E12" s="6" t="s">
        <v>7</v>
      </c>
      <c r="F12" s="35">
        <v>250</v>
      </c>
      <c r="G12" s="23">
        <f t="shared" si="0"/>
        <v>1388.8888888888889</v>
      </c>
    </row>
    <row r="13" spans="2:7" x14ac:dyDescent="0.25">
      <c r="B13" s="22" t="s">
        <v>88</v>
      </c>
      <c r="C13" s="42" t="s">
        <v>47</v>
      </c>
      <c r="D13" s="14">
        <f>'Main at Marina Lofts'!C12</f>
        <v>266.66666666666669</v>
      </c>
      <c r="E13" s="6" t="s">
        <v>6</v>
      </c>
      <c r="F13" s="35">
        <v>150</v>
      </c>
      <c r="G13" s="23">
        <f t="shared" si="0"/>
        <v>40000</v>
      </c>
    </row>
    <row r="14" spans="2:7" x14ac:dyDescent="0.25">
      <c r="B14" s="56" t="s">
        <v>91</v>
      </c>
      <c r="C14" s="42" t="s">
        <v>93</v>
      </c>
      <c r="D14" s="46">
        <f>'Main at Marina Lofts'!C13</f>
        <v>48</v>
      </c>
      <c r="E14" s="50" t="s">
        <v>8</v>
      </c>
      <c r="F14" s="52">
        <v>10</v>
      </c>
      <c r="G14" s="45">
        <f t="shared" si="0"/>
        <v>480</v>
      </c>
    </row>
    <row r="15" spans="2:7" x14ac:dyDescent="0.25">
      <c r="B15" s="51" t="s">
        <v>18</v>
      </c>
      <c r="C15" s="5" t="s">
        <v>106</v>
      </c>
      <c r="D15" s="14">
        <f>'Main at Marina Lofts'!C14</f>
        <v>400</v>
      </c>
      <c r="E15" s="6" t="s">
        <v>17</v>
      </c>
      <c r="F15" s="49">
        <v>50</v>
      </c>
      <c r="G15" s="23">
        <f t="shared" si="0"/>
        <v>20000</v>
      </c>
    </row>
    <row r="16" spans="2:7" x14ac:dyDescent="0.25">
      <c r="B16" s="51" t="s">
        <v>18</v>
      </c>
      <c r="C16" s="5" t="s">
        <v>89</v>
      </c>
      <c r="D16" s="14">
        <f>'Main at Marina Lofts'!C15</f>
        <v>232</v>
      </c>
      <c r="E16" s="6" t="s">
        <v>17</v>
      </c>
      <c r="F16" s="49">
        <v>25</v>
      </c>
      <c r="G16" s="23">
        <f t="shared" si="0"/>
        <v>5800</v>
      </c>
    </row>
    <row r="17" spans="2:7" x14ac:dyDescent="0.25">
      <c r="B17" s="57" t="s">
        <v>18</v>
      </c>
      <c r="C17" s="42" t="s">
        <v>55</v>
      </c>
      <c r="D17" s="46">
        <f>'Main at Marina Lofts'!C16</f>
        <v>750</v>
      </c>
      <c r="E17" s="50" t="s">
        <v>17</v>
      </c>
      <c r="F17" s="52">
        <v>10</v>
      </c>
      <c r="G17" s="45">
        <f t="shared" si="0"/>
        <v>7500</v>
      </c>
    </row>
    <row r="18" spans="2:7" x14ac:dyDescent="0.25">
      <c r="B18" s="57" t="s">
        <v>18</v>
      </c>
      <c r="C18" s="42" t="s">
        <v>99</v>
      </c>
      <c r="D18" s="46">
        <f>'Main at Marina Lofts'!C17</f>
        <v>3000</v>
      </c>
      <c r="E18" s="50" t="s">
        <v>17</v>
      </c>
      <c r="F18" s="52">
        <v>14</v>
      </c>
      <c r="G18" s="45">
        <f t="shared" si="0"/>
        <v>42000</v>
      </c>
    </row>
    <row r="19" spans="2:7" x14ac:dyDescent="0.25">
      <c r="B19" s="57" t="s">
        <v>107</v>
      </c>
      <c r="C19" s="42" t="s">
        <v>104</v>
      </c>
      <c r="D19" s="46">
        <f>'Main at Marina Lofts'!C18</f>
        <v>1</v>
      </c>
      <c r="E19" s="50" t="s">
        <v>97</v>
      </c>
      <c r="F19" s="52">
        <v>40000</v>
      </c>
      <c r="G19" s="45">
        <f t="shared" si="0"/>
        <v>40000</v>
      </c>
    </row>
    <row r="20" spans="2:7" x14ac:dyDescent="0.25">
      <c r="B20" s="57" t="s">
        <v>92</v>
      </c>
      <c r="C20" s="42" t="s">
        <v>62</v>
      </c>
      <c r="D20" s="46">
        <f>'Main at Marina Lofts'!C19</f>
        <v>13.333333333333332</v>
      </c>
      <c r="E20" s="50" t="s">
        <v>28</v>
      </c>
      <c r="F20" s="52">
        <v>650</v>
      </c>
      <c r="G20" s="45">
        <f t="shared" si="0"/>
        <v>8666.6666666666661</v>
      </c>
    </row>
    <row r="21" spans="2:7" x14ac:dyDescent="0.25">
      <c r="B21" s="22"/>
      <c r="C21" s="5"/>
      <c r="D21" s="14"/>
      <c r="E21" s="6"/>
      <c r="F21" s="35"/>
      <c r="G21" s="23"/>
    </row>
    <row r="22" spans="2:7" x14ac:dyDescent="0.25">
      <c r="B22" s="22"/>
      <c r="C22" s="5"/>
      <c r="D22" s="14"/>
      <c r="E22" s="6"/>
      <c r="F22" s="35"/>
      <c r="G22" s="23"/>
    </row>
    <row r="23" spans="2:7" x14ac:dyDescent="0.25">
      <c r="B23" s="80" t="s">
        <v>40</v>
      </c>
      <c r="C23" s="81"/>
      <c r="D23" s="81"/>
      <c r="E23" s="81"/>
      <c r="F23" s="82"/>
      <c r="G23" s="30">
        <f>SUM(G6:G22)</f>
        <v>190852.44444444444</v>
      </c>
    </row>
    <row r="24" spans="2:7" x14ac:dyDescent="0.25">
      <c r="B24" s="86" t="s">
        <v>94</v>
      </c>
      <c r="C24" s="87"/>
      <c r="D24" s="87"/>
      <c r="E24" s="87"/>
      <c r="F24" s="87"/>
      <c r="G24" s="88"/>
    </row>
    <row r="25" spans="2:7" x14ac:dyDescent="0.25">
      <c r="B25" s="22" t="s">
        <v>19</v>
      </c>
      <c r="C25" s="5" t="s">
        <v>15</v>
      </c>
      <c r="D25" s="14" t="s">
        <v>112</v>
      </c>
      <c r="E25" s="6" t="s">
        <v>12</v>
      </c>
      <c r="F25" s="18"/>
      <c r="G25" s="23">
        <f>'Main at Marina Lofts'!F24</f>
        <v>0</v>
      </c>
    </row>
    <row r="26" spans="2:7" x14ac:dyDescent="0.25">
      <c r="B26" s="22" t="s">
        <v>20</v>
      </c>
      <c r="C26" s="5" t="s">
        <v>10</v>
      </c>
      <c r="D26" s="14" t="s">
        <v>111</v>
      </c>
      <c r="E26" s="6" t="s">
        <v>12</v>
      </c>
      <c r="F26" s="8"/>
      <c r="G26" s="23">
        <f>'Main at Marina Lofts'!F25</f>
        <v>0</v>
      </c>
    </row>
    <row r="27" spans="2:7" x14ac:dyDescent="0.25">
      <c r="B27" s="22" t="s">
        <v>21</v>
      </c>
      <c r="C27" s="5" t="s">
        <v>11</v>
      </c>
      <c r="D27" s="14" t="s">
        <v>113</v>
      </c>
      <c r="E27" s="6" t="s">
        <v>12</v>
      </c>
      <c r="F27" s="8"/>
      <c r="G27" s="23">
        <f>'Main at Marina Lofts'!F26</f>
        <v>0</v>
      </c>
    </row>
    <row r="28" spans="2:7" x14ac:dyDescent="0.25">
      <c r="B28" s="80" t="s">
        <v>13</v>
      </c>
      <c r="C28" s="81"/>
      <c r="D28" s="81"/>
      <c r="E28" s="81"/>
      <c r="F28" s="82"/>
      <c r="G28" s="30">
        <f>SUM(G25:G27)</f>
        <v>0</v>
      </c>
    </row>
    <row r="29" spans="2:7" ht="17.25" x14ac:dyDescent="0.3">
      <c r="B29" s="83" t="s">
        <v>14</v>
      </c>
      <c r="C29" s="84"/>
      <c r="D29" s="84"/>
      <c r="E29" s="84"/>
      <c r="F29" s="85"/>
      <c r="G29" s="31">
        <f>G28+G23</f>
        <v>190852.44444444444</v>
      </c>
    </row>
    <row r="30" spans="2:7" x14ac:dyDescent="0.25">
      <c r="B30" s="75" t="s">
        <v>110</v>
      </c>
      <c r="C30" s="76"/>
      <c r="D30" s="15"/>
      <c r="E30" s="7">
        <v>0.3</v>
      </c>
      <c r="F30" s="18"/>
      <c r="G30" s="45">
        <f>+G29*E30</f>
        <v>57255.73333333333</v>
      </c>
    </row>
    <row r="31" spans="2:7" x14ac:dyDescent="0.25">
      <c r="B31" s="75" t="s">
        <v>38</v>
      </c>
      <c r="C31" s="76"/>
      <c r="D31" s="15"/>
      <c r="E31" s="34">
        <v>9.0999999999999998E-2</v>
      </c>
      <c r="F31" s="18"/>
      <c r="G31" s="45">
        <f>+(G29+G30)*E31</f>
        <v>22577.844177777777</v>
      </c>
    </row>
    <row r="32" spans="2:7" ht="17.25" x14ac:dyDescent="0.3">
      <c r="B32" s="83" t="s">
        <v>39</v>
      </c>
      <c r="C32" s="84"/>
      <c r="D32" s="84"/>
      <c r="E32" s="84"/>
      <c r="F32" s="85"/>
      <c r="G32" s="32">
        <f>ROUNDUP(G29*(1+E30)*(1+E31),-3)</f>
        <v>271000</v>
      </c>
    </row>
    <row r="35" spans="2:7" ht="21.75" thickBot="1" x14ac:dyDescent="0.3">
      <c r="B35" s="74" t="s">
        <v>108</v>
      </c>
      <c r="C35" s="74"/>
      <c r="D35" s="74"/>
      <c r="E35" s="74"/>
      <c r="F35" s="74"/>
      <c r="G35" s="74"/>
    </row>
    <row r="36" spans="2:7" ht="28.5" x14ac:dyDescent="0.25">
      <c r="B36" s="25" t="s">
        <v>0</v>
      </c>
      <c r="C36" s="26" t="s">
        <v>1</v>
      </c>
      <c r="D36" s="27" t="s">
        <v>4</v>
      </c>
      <c r="E36" s="26" t="s">
        <v>2</v>
      </c>
      <c r="F36" s="28" t="s">
        <v>3</v>
      </c>
      <c r="G36" s="29" t="s">
        <v>22</v>
      </c>
    </row>
    <row r="37" spans="2:7" x14ac:dyDescent="0.25">
      <c r="B37" s="77" t="s">
        <v>29</v>
      </c>
      <c r="C37" s="78"/>
      <c r="D37" s="78"/>
      <c r="E37" s="78"/>
      <c r="F37" s="78"/>
      <c r="G37" s="79"/>
    </row>
    <row r="38" spans="2:7" x14ac:dyDescent="0.25">
      <c r="B38" s="69"/>
      <c r="C38" s="70"/>
      <c r="D38" s="70"/>
      <c r="E38" s="70"/>
      <c r="F38" s="70"/>
      <c r="G38" s="71"/>
    </row>
    <row r="39" spans="2:7" x14ac:dyDescent="0.25">
      <c r="B39" s="36">
        <v>202</v>
      </c>
      <c r="C39" s="38" t="s">
        <v>27</v>
      </c>
      <c r="D39" s="48">
        <f>'Main at Starr'!C5</f>
        <v>400</v>
      </c>
      <c r="E39" s="37" t="s">
        <v>6</v>
      </c>
      <c r="F39" s="39">
        <v>17</v>
      </c>
      <c r="G39" s="23">
        <f t="shared" ref="G39:G51" si="1">+D39*F39</f>
        <v>6800</v>
      </c>
    </row>
    <row r="40" spans="2:7" x14ac:dyDescent="0.25">
      <c r="B40" s="22" t="s">
        <v>26</v>
      </c>
      <c r="C40" s="42" t="s">
        <v>80</v>
      </c>
      <c r="D40" s="14">
        <f>'Main at Starr'!C6</f>
        <v>29.62962962962963</v>
      </c>
      <c r="E40" s="6" t="s">
        <v>7</v>
      </c>
      <c r="F40" s="35">
        <v>220</v>
      </c>
      <c r="G40" s="23">
        <f t="shared" si="1"/>
        <v>6518.5185185185182</v>
      </c>
    </row>
    <row r="41" spans="2:7" x14ac:dyDescent="0.25">
      <c r="B41" s="22" t="s">
        <v>16</v>
      </c>
      <c r="C41" t="s">
        <v>44</v>
      </c>
      <c r="D41" s="14">
        <f>'Main at Starr'!C7</f>
        <v>41.833333333333343</v>
      </c>
      <c r="E41" s="6" t="s">
        <v>7</v>
      </c>
      <c r="F41" s="35">
        <v>80</v>
      </c>
      <c r="G41" s="23">
        <f t="shared" si="1"/>
        <v>3346.6666666666674</v>
      </c>
    </row>
    <row r="42" spans="2:7" x14ac:dyDescent="0.25">
      <c r="B42" s="22" t="s">
        <v>24</v>
      </c>
      <c r="C42" s="5" t="s">
        <v>67</v>
      </c>
      <c r="D42" s="14">
        <f>'Main at Starr'!C8</f>
        <v>13.333333333333336</v>
      </c>
      <c r="E42" s="6" t="s">
        <v>25</v>
      </c>
      <c r="F42" s="35">
        <v>4</v>
      </c>
      <c r="G42" s="23">
        <f t="shared" si="1"/>
        <v>53.333333333333343</v>
      </c>
    </row>
    <row r="43" spans="2:7" x14ac:dyDescent="0.25">
      <c r="B43" s="22" t="s">
        <v>87</v>
      </c>
      <c r="C43" s="42" t="s">
        <v>69</v>
      </c>
      <c r="D43" s="14">
        <f>'Main at Starr'!C9</f>
        <v>4.6296296296296298</v>
      </c>
      <c r="E43" s="6" t="s">
        <v>7</v>
      </c>
      <c r="F43" s="35">
        <v>280</v>
      </c>
      <c r="G43" s="23">
        <f t="shared" si="1"/>
        <v>1296.2962962962963</v>
      </c>
    </row>
    <row r="44" spans="2:7" x14ac:dyDescent="0.25">
      <c r="B44" s="22" t="s">
        <v>87</v>
      </c>
      <c r="C44" s="42" t="s">
        <v>78</v>
      </c>
      <c r="D44" s="14">
        <f>'Main at Starr'!C10</f>
        <v>6</v>
      </c>
      <c r="E44" s="6" t="s">
        <v>7</v>
      </c>
      <c r="F44" s="35">
        <v>250</v>
      </c>
      <c r="G44" s="23">
        <f t="shared" si="1"/>
        <v>1500</v>
      </c>
    </row>
    <row r="45" spans="2:7" x14ac:dyDescent="0.25">
      <c r="B45" s="22" t="s">
        <v>88</v>
      </c>
      <c r="C45" s="42" t="s">
        <v>42</v>
      </c>
      <c r="D45" s="14">
        <f>'Main at Starr'!C11</f>
        <v>42.666666666666664</v>
      </c>
      <c r="E45" s="6" t="s">
        <v>6</v>
      </c>
      <c r="F45" s="35">
        <v>120</v>
      </c>
      <c r="G45" s="23">
        <f t="shared" si="1"/>
        <v>5120</v>
      </c>
    </row>
    <row r="46" spans="2:7" x14ac:dyDescent="0.25">
      <c r="B46" s="22" t="s">
        <v>88</v>
      </c>
      <c r="C46" s="42" t="s">
        <v>47</v>
      </c>
      <c r="D46" s="14">
        <f>'Main at Starr'!C12</f>
        <v>266.66666666666669</v>
      </c>
      <c r="E46" s="6" t="s">
        <v>6</v>
      </c>
      <c r="F46" s="35">
        <v>150</v>
      </c>
      <c r="G46" s="23">
        <f t="shared" si="1"/>
        <v>40000</v>
      </c>
    </row>
    <row r="47" spans="2:7" x14ac:dyDescent="0.25">
      <c r="B47" s="54" t="s">
        <v>91</v>
      </c>
      <c r="C47" s="42" t="s">
        <v>93</v>
      </c>
      <c r="D47" s="46">
        <f>'Main at Starr'!C13</f>
        <v>48</v>
      </c>
      <c r="E47" s="50" t="s">
        <v>8</v>
      </c>
      <c r="F47" s="52">
        <v>10</v>
      </c>
      <c r="G47" s="45">
        <f t="shared" si="1"/>
        <v>480</v>
      </c>
    </row>
    <row r="48" spans="2:7" x14ac:dyDescent="0.25">
      <c r="B48" s="22" t="s">
        <v>18</v>
      </c>
      <c r="C48" s="5" t="s">
        <v>89</v>
      </c>
      <c r="D48" s="14">
        <f>'Main at Starr'!C14</f>
        <v>200</v>
      </c>
      <c r="E48" s="6" t="s">
        <v>17</v>
      </c>
      <c r="F48" s="49">
        <v>25</v>
      </c>
      <c r="G48" s="23">
        <f t="shared" si="1"/>
        <v>5000</v>
      </c>
    </row>
    <row r="49" spans="2:7" x14ac:dyDescent="0.25">
      <c r="B49" s="55" t="s">
        <v>18</v>
      </c>
      <c r="C49" s="42" t="s">
        <v>55</v>
      </c>
      <c r="D49" s="46">
        <f>'Main at Starr'!C15</f>
        <v>1700</v>
      </c>
      <c r="E49" s="50" t="s">
        <v>17</v>
      </c>
      <c r="F49" s="52">
        <v>10</v>
      </c>
      <c r="G49" s="45">
        <f t="shared" si="1"/>
        <v>17000</v>
      </c>
    </row>
    <row r="50" spans="2:7" x14ac:dyDescent="0.25">
      <c r="B50" s="55" t="s">
        <v>18</v>
      </c>
      <c r="C50" s="42" t="s">
        <v>99</v>
      </c>
      <c r="D50" s="46">
        <f>'Main at Starr'!C16</f>
        <v>2250</v>
      </c>
      <c r="E50" s="50" t="s">
        <v>17</v>
      </c>
      <c r="F50" s="52">
        <v>14</v>
      </c>
      <c r="G50" s="45">
        <f t="shared" si="1"/>
        <v>31500</v>
      </c>
    </row>
    <row r="51" spans="2:7" x14ac:dyDescent="0.25">
      <c r="B51" s="55" t="s">
        <v>92</v>
      </c>
      <c r="C51" s="42" t="s">
        <v>62</v>
      </c>
      <c r="D51" s="46">
        <f>'Main at Starr'!C17</f>
        <v>13.333333333333332</v>
      </c>
      <c r="E51" s="50" t="s">
        <v>28</v>
      </c>
      <c r="F51" s="52">
        <v>650</v>
      </c>
      <c r="G51" s="45">
        <f t="shared" si="1"/>
        <v>8666.6666666666661</v>
      </c>
    </row>
    <row r="52" spans="2:7" x14ac:dyDescent="0.25">
      <c r="B52" s="22"/>
      <c r="C52" s="5"/>
      <c r="D52" s="14"/>
      <c r="E52" s="6"/>
      <c r="F52" s="35"/>
      <c r="G52" s="23"/>
    </row>
    <row r="53" spans="2:7" x14ac:dyDescent="0.25">
      <c r="B53" s="72" t="s">
        <v>40</v>
      </c>
      <c r="C53" s="73"/>
      <c r="D53" s="73"/>
      <c r="E53" s="73"/>
      <c r="F53" s="73"/>
      <c r="G53" s="30">
        <f>SUM(G39:G52)</f>
        <v>127281.48148148149</v>
      </c>
    </row>
    <row r="54" spans="2:7" x14ac:dyDescent="0.25">
      <c r="B54" s="69" t="s">
        <v>94</v>
      </c>
      <c r="C54" s="70"/>
      <c r="D54" s="70"/>
      <c r="E54" s="70"/>
      <c r="F54" s="70"/>
      <c r="G54" s="71"/>
    </row>
    <row r="55" spans="2:7" x14ac:dyDescent="0.25">
      <c r="B55" s="22" t="s">
        <v>19</v>
      </c>
      <c r="C55" s="5" t="s">
        <v>15</v>
      </c>
      <c r="D55" s="14" t="s">
        <v>112</v>
      </c>
      <c r="E55" s="6" t="s">
        <v>12</v>
      </c>
      <c r="F55" s="18"/>
      <c r="G55" s="23">
        <f>'Main at Starr'!F24</f>
        <v>0</v>
      </c>
    </row>
    <row r="56" spans="2:7" x14ac:dyDescent="0.25">
      <c r="B56" s="22" t="s">
        <v>20</v>
      </c>
      <c r="C56" s="5" t="s">
        <v>10</v>
      </c>
      <c r="D56" s="14" t="s">
        <v>111</v>
      </c>
      <c r="E56" s="6" t="s">
        <v>12</v>
      </c>
      <c r="F56" s="8"/>
      <c r="G56" s="23">
        <f>'Main at Starr'!F25</f>
        <v>0</v>
      </c>
    </row>
    <row r="57" spans="2:7" x14ac:dyDescent="0.25">
      <c r="B57" s="22" t="s">
        <v>21</v>
      </c>
      <c r="C57" s="5" t="s">
        <v>11</v>
      </c>
      <c r="D57" s="14" t="s">
        <v>113</v>
      </c>
      <c r="E57" s="6" t="s">
        <v>12</v>
      </c>
      <c r="F57" s="8"/>
      <c r="G57" s="23">
        <f>'Main at Starr'!F26</f>
        <v>0</v>
      </c>
    </row>
    <row r="58" spans="2:7" x14ac:dyDescent="0.25">
      <c r="B58" s="72" t="s">
        <v>13</v>
      </c>
      <c r="C58" s="73"/>
      <c r="D58" s="73"/>
      <c r="E58" s="73"/>
      <c r="F58" s="73"/>
      <c r="G58" s="30">
        <f>SUM(G55:G57)</f>
        <v>0</v>
      </c>
    </row>
    <row r="59" spans="2:7" ht="17.25" x14ac:dyDescent="0.3">
      <c r="B59" s="89" t="s">
        <v>14</v>
      </c>
      <c r="C59" s="90"/>
      <c r="D59" s="90"/>
      <c r="E59" s="90"/>
      <c r="F59" s="90"/>
      <c r="G59" s="31">
        <f>G58+G53</f>
        <v>127281.48148148149</v>
      </c>
    </row>
    <row r="60" spans="2:7" x14ac:dyDescent="0.25">
      <c r="B60" s="75" t="s">
        <v>110</v>
      </c>
      <c r="C60" s="76"/>
      <c r="D60" s="15"/>
      <c r="E60" s="7">
        <v>0.3</v>
      </c>
      <c r="F60" s="18"/>
      <c r="G60" s="45">
        <f>+G59*E60</f>
        <v>38184.444444444445</v>
      </c>
    </row>
    <row r="61" spans="2:7" x14ac:dyDescent="0.25">
      <c r="B61" s="75" t="s">
        <v>38</v>
      </c>
      <c r="C61" s="76"/>
      <c r="D61" s="15"/>
      <c r="E61" s="34">
        <v>9.0999999999999998E-2</v>
      </c>
      <c r="F61" s="18"/>
      <c r="G61" s="45">
        <f>+(G59+G60)*E61</f>
        <v>15057.399259259259</v>
      </c>
    </row>
    <row r="62" spans="2:7" ht="17.25" x14ac:dyDescent="0.3">
      <c r="B62" s="89" t="s">
        <v>39</v>
      </c>
      <c r="C62" s="90"/>
      <c r="D62" s="90"/>
      <c r="E62" s="90"/>
      <c r="F62" s="90"/>
      <c r="G62" s="32">
        <f>ROUNDUP(G59*(1+E60)*(1+E61),-3)</f>
        <v>181000</v>
      </c>
    </row>
    <row r="64" spans="2:7" ht="15.75" thickBot="1" x14ac:dyDescent="0.3"/>
    <row r="65" spans="3:7" x14ac:dyDescent="0.25">
      <c r="C65" s="63" t="s">
        <v>116</v>
      </c>
      <c r="D65" s="64"/>
      <c r="E65" s="64"/>
      <c r="F65" s="65" t="s">
        <v>115</v>
      </c>
      <c r="G65" s="61">
        <f>G32</f>
        <v>271000</v>
      </c>
    </row>
    <row r="66" spans="3:7" x14ac:dyDescent="0.25">
      <c r="C66" s="59" t="s">
        <v>117</v>
      </c>
      <c r="F66" s="66" t="s">
        <v>115</v>
      </c>
      <c r="G66" s="62">
        <f>G62</f>
        <v>181000</v>
      </c>
    </row>
    <row r="67" spans="3:7" ht="18" thickBot="1" x14ac:dyDescent="0.35">
      <c r="C67" s="67"/>
      <c r="D67" s="68"/>
      <c r="E67" s="68"/>
      <c r="F67" s="67" t="s">
        <v>114</v>
      </c>
      <c r="G67" s="60">
        <f>SUM(G65:G66)</f>
        <v>452000</v>
      </c>
    </row>
  </sheetData>
  <mergeCells count="20">
    <mergeCell ref="B58:F58"/>
    <mergeCell ref="B59:F59"/>
    <mergeCell ref="B60:C60"/>
    <mergeCell ref="B61:C61"/>
    <mergeCell ref="B62:F62"/>
    <mergeCell ref="B4:G4"/>
    <mergeCell ref="B23:F23"/>
    <mergeCell ref="B32:F32"/>
    <mergeCell ref="B37:G37"/>
    <mergeCell ref="B2:G2"/>
    <mergeCell ref="B5:G5"/>
    <mergeCell ref="B24:G24"/>
    <mergeCell ref="B28:F28"/>
    <mergeCell ref="B30:C30"/>
    <mergeCell ref="B29:F29"/>
    <mergeCell ref="B38:G38"/>
    <mergeCell ref="B53:F53"/>
    <mergeCell ref="B54:G54"/>
    <mergeCell ref="B35:G35"/>
    <mergeCell ref="B31:C31"/>
  </mergeCells>
  <pageMargins left="0.7" right="0.7" top="0.75" bottom="0.75" header="0.3" footer="0.3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4"/>
  <sheetViews>
    <sheetView zoomScale="80" zoomScaleNormal="80" workbookViewId="0">
      <selection activeCell="C38" sqref="C38"/>
    </sheetView>
  </sheetViews>
  <sheetFormatPr defaultRowHeight="15" x14ac:dyDescent="0.25"/>
  <cols>
    <col min="1" max="1" width="7.42578125" style="13" customWidth="1"/>
    <col min="2" max="2" width="69" customWidth="1"/>
    <col min="3" max="3" width="18.28515625" style="17" customWidth="1"/>
    <col min="4" max="4" width="11.28515625" style="4" customWidth="1"/>
    <col min="5" max="5" width="14.140625" style="20" customWidth="1"/>
    <col min="6" max="6" width="15.85546875" style="10" customWidth="1"/>
    <col min="7" max="7" width="4" customWidth="1"/>
    <col min="8" max="8" width="1.85546875" customWidth="1"/>
    <col min="9" max="9" width="2" customWidth="1"/>
    <col min="10" max="10" width="2.28515625" customWidth="1"/>
    <col min="11" max="11" width="3.5703125" customWidth="1"/>
    <col min="14" max="14" width="14.7109375" customWidth="1"/>
    <col min="17" max="17" width="25" customWidth="1"/>
    <col min="20" max="20" width="1.85546875" customWidth="1"/>
    <col min="21" max="21" width="4.5703125" customWidth="1"/>
    <col min="22" max="22" width="2.28515625" customWidth="1"/>
    <col min="23" max="23" width="10.140625" customWidth="1"/>
  </cols>
  <sheetData>
    <row r="1" spans="1:23" ht="21.75" thickBot="1" x14ac:dyDescent="0.3">
      <c r="A1" s="74" t="s">
        <v>98</v>
      </c>
      <c r="B1" s="74"/>
      <c r="C1" s="74"/>
      <c r="D1" s="74"/>
      <c r="E1" s="74"/>
      <c r="F1" s="74"/>
    </row>
    <row r="2" spans="1:23" s="1" customFormat="1" ht="40.5" customHeight="1" x14ac:dyDescent="0.25">
      <c r="A2" s="25" t="s">
        <v>0</v>
      </c>
      <c r="B2" s="26" t="s">
        <v>1</v>
      </c>
      <c r="C2" s="27" t="s">
        <v>4</v>
      </c>
      <c r="D2" s="26" t="s">
        <v>2</v>
      </c>
      <c r="E2" s="28" t="s">
        <v>3</v>
      </c>
      <c r="F2" s="29" t="s">
        <v>22</v>
      </c>
      <c r="H2" s="91"/>
      <c r="I2" s="91"/>
      <c r="J2" s="91"/>
      <c r="K2" s="91"/>
      <c r="L2" s="91"/>
      <c r="M2" s="91"/>
      <c r="N2" s="91"/>
      <c r="O2" s="91"/>
    </row>
    <row r="3" spans="1:23" x14ac:dyDescent="0.25">
      <c r="A3" s="77" t="s">
        <v>29</v>
      </c>
      <c r="B3" s="78"/>
      <c r="C3" s="78"/>
      <c r="D3" s="78"/>
      <c r="E3" s="78"/>
      <c r="F3" s="79"/>
      <c r="H3" s="11"/>
    </row>
    <row r="4" spans="1:23" x14ac:dyDescent="0.25">
      <c r="A4" s="69"/>
      <c r="B4" s="70"/>
      <c r="C4" s="70"/>
      <c r="D4" s="70"/>
      <c r="E4" s="70"/>
      <c r="F4" s="71"/>
      <c r="H4" s="11"/>
    </row>
    <row r="5" spans="1:23" x14ac:dyDescent="0.25">
      <c r="A5" s="36">
        <v>202</v>
      </c>
      <c r="B5" s="38" t="s">
        <v>27</v>
      </c>
      <c r="C5" s="48">
        <f>W16</f>
        <v>320</v>
      </c>
      <c r="D5" s="37" t="s">
        <v>6</v>
      </c>
      <c r="E5" s="39">
        <v>17</v>
      </c>
      <c r="F5" s="23">
        <f t="shared" ref="F5:F19" si="0">+C5*E5</f>
        <v>5440</v>
      </c>
      <c r="L5" s="11" t="s">
        <v>60</v>
      </c>
    </row>
    <row r="6" spans="1:23" x14ac:dyDescent="0.25">
      <c r="A6" s="22" t="s">
        <v>95</v>
      </c>
      <c r="B6" s="42" t="s">
        <v>5</v>
      </c>
      <c r="C6" s="14">
        <f>W17</f>
        <v>106.66666666666667</v>
      </c>
      <c r="D6" s="6" t="s">
        <v>7</v>
      </c>
      <c r="E6" s="35">
        <v>15</v>
      </c>
      <c r="F6" s="23">
        <f t="shared" si="0"/>
        <v>1600</v>
      </c>
      <c r="L6" t="s">
        <v>59</v>
      </c>
    </row>
    <row r="7" spans="1:23" x14ac:dyDescent="0.25">
      <c r="A7" s="22" t="s">
        <v>96</v>
      </c>
      <c r="B7" s="42" t="s">
        <v>57</v>
      </c>
      <c r="C7" s="14">
        <f>W11</f>
        <v>48</v>
      </c>
      <c r="D7" s="6" t="s">
        <v>97</v>
      </c>
      <c r="E7" s="35">
        <v>175</v>
      </c>
      <c r="F7" s="23">
        <f t="shared" si="0"/>
        <v>8400</v>
      </c>
      <c r="L7" t="s">
        <v>61</v>
      </c>
      <c r="W7" s="41" t="s">
        <v>51</v>
      </c>
    </row>
    <row r="8" spans="1:23" x14ac:dyDescent="0.25">
      <c r="A8" s="22" t="s">
        <v>16</v>
      </c>
      <c r="B8" t="s">
        <v>9</v>
      </c>
      <c r="C8" s="14">
        <f>W9+W25+W32</f>
        <v>112.96296296296295</v>
      </c>
      <c r="D8" s="6" t="s">
        <v>7</v>
      </c>
      <c r="E8" s="35">
        <v>80</v>
      </c>
      <c r="F8" s="23">
        <f t="shared" si="0"/>
        <v>9037.0370370370365</v>
      </c>
      <c r="L8" s="47" t="s">
        <v>41</v>
      </c>
      <c r="M8" t="s">
        <v>47</v>
      </c>
      <c r="R8" t="s">
        <v>48</v>
      </c>
      <c r="W8" s="40">
        <f>+((100*12)/9)*2</f>
        <v>266.66666666666669</v>
      </c>
    </row>
    <row r="9" spans="1:23" x14ac:dyDescent="0.25">
      <c r="A9" s="22" t="s">
        <v>24</v>
      </c>
      <c r="B9" s="5" t="s">
        <v>67</v>
      </c>
      <c r="C9" s="14">
        <f>W15</f>
        <v>5.3333333333333339</v>
      </c>
      <c r="D9" s="6" t="s">
        <v>25</v>
      </c>
      <c r="E9" s="35">
        <v>4</v>
      </c>
      <c r="F9" s="23">
        <f t="shared" si="0"/>
        <v>21.333333333333336</v>
      </c>
      <c r="L9" s="47" t="s">
        <v>43</v>
      </c>
      <c r="M9" t="s">
        <v>44</v>
      </c>
      <c r="R9" t="s">
        <v>49</v>
      </c>
      <c r="W9" s="40">
        <f>+(100*12*0.5)/27 + (100*12*1)/27</f>
        <v>66.666666666666657</v>
      </c>
    </row>
    <row r="10" spans="1:23" x14ac:dyDescent="0.25">
      <c r="A10" s="22" t="s">
        <v>87</v>
      </c>
      <c r="B10" s="42" t="s">
        <v>69</v>
      </c>
      <c r="C10" s="14">
        <f>W13</f>
        <v>1.8518518518518519</v>
      </c>
      <c r="D10" s="6" t="s">
        <v>7</v>
      </c>
      <c r="E10" s="35">
        <v>280</v>
      </c>
      <c r="F10" s="23">
        <f t="shared" si="0"/>
        <v>518.51851851851848</v>
      </c>
      <c r="L10" s="47" t="s">
        <v>45</v>
      </c>
      <c r="M10" t="s">
        <v>46</v>
      </c>
      <c r="R10" t="s">
        <v>50</v>
      </c>
      <c r="W10">
        <f>12*4</f>
        <v>48</v>
      </c>
    </row>
    <row r="11" spans="1:23" x14ac:dyDescent="0.25">
      <c r="A11" s="22" t="s">
        <v>87</v>
      </c>
      <c r="B11" s="42" t="s">
        <v>70</v>
      </c>
      <c r="C11" s="14">
        <f>W14</f>
        <v>5.5555555555555554</v>
      </c>
      <c r="D11" s="6" t="s">
        <v>7</v>
      </c>
      <c r="E11" s="35">
        <v>250</v>
      </c>
      <c r="F11" s="23">
        <f t="shared" si="0"/>
        <v>1388.8888888888889</v>
      </c>
      <c r="L11" s="47" t="s">
        <v>73</v>
      </c>
      <c r="M11" t="s">
        <v>57</v>
      </c>
      <c r="R11" t="s">
        <v>58</v>
      </c>
      <c r="W11">
        <f>12*4</f>
        <v>48</v>
      </c>
    </row>
    <row r="12" spans="1:23" x14ac:dyDescent="0.25">
      <c r="A12" s="22" t="s">
        <v>88</v>
      </c>
      <c r="B12" s="42" t="s">
        <v>47</v>
      </c>
      <c r="C12" s="14">
        <f>W8</f>
        <v>266.66666666666669</v>
      </c>
      <c r="D12" s="6" t="s">
        <v>6</v>
      </c>
      <c r="E12" s="35">
        <v>150</v>
      </c>
      <c r="F12" s="23">
        <f t="shared" si="0"/>
        <v>40000</v>
      </c>
      <c r="L12" s="47" t="s">
        <v>63</v>
      </c>
      <c r="M12" t="s">
        <v>62</v>
      </c>
      <c r="O12" s="21"/>
      <c r="R12" t="s">
        <v>64</v>
      </c>
      <c r="W12" s="40">
        <f>+(12*(20/12)*(2/12))*4</f>
        <v>13.333333333333332</v>
      </c>
    </row>
    <row r="13" spans="1:23" x14ac:dyDescent="0.25">
      <c r="A13" s="43" t="s">
        <v>91</v>
      </c>
      <c r="B13" s="42" t="s">
        <v>93</v>
      </c>
      <c r="C13" s="46">
        <f>W10</f>
        <v>48</v>
      </c>
      <c r="D13" s="50" t="s">
        <v>8</v>
      </c>
      <c r="E13" s="52">
        <v>10</v>
      </c>
      <c r="F13" s="45">
        <f t="shared" si="0"/>
        <v>480</v>
      </c>
      <c r="K13" s="21"/>
      <c r="L13" s="47" t="s">
        <v>65</v>
      </c>
      <c r="M13" t="s">
        <v>69</v>
      </c>
      <c r="R13" t="s">
        <v>72</v>
      </c>
      <c r="W13" s="40">
        <f>+((10*12*(1.25/12))/27)*4</f>
        <v>1.8518518518518519</v>
      </c>
    </row>
    <row r="14" spans="1:23" x14ac:dyDescent="0.25">
      <c r="A14" s="51" t="s">
        <v>18</v>
      </c>
      <c r="B14" s="5" t="s">
        <v>106</v>
      </c>
      <c r="C14" s="14">
        <f>W38</f>
        <v>400</v>
      </c>
      <c r="D14" s="6" t="s">
        <v>17</v>
      </c>
      <c r="E14" s="49">
        <v>50</v>
      </c>
      <c r="F14" s="23">
        <f t="shared" si="0"/>
        <v>20000</v>
      </c>
      <c r="K14" s="21"/>
      <c r="L14" s="47" t="s">
        <v>65</v>
      </c>
      <c r="M14" t="s">
        <v>70</v>
      </c>
      <c r="R14" t="s">
        <v>71</v>
      </c>
      <c r="W14" s="40">
        <f>+((10*12*(3.75/12))/27)*4</f>
        <v>5.5555555555555554</v>
      </c>
    </row>
    <row r="15" spans="1:23" x14ac:dyDescent="0.25">
      <c r="A15" s="51" t="s">
        <v>18</v>
      </c>
      <c r="B15" s="5" t="s">
        <v>89</v>
      </c>
      <c r="C15" s="14">
        <f>W27+W33+W39</f>
        <v>232</v>
      </c>
      <c r="D15" s="6" t="s">
        <v>17</v>
      </c>
      <c r="E15" s="49">
        <v>25</v>
      </c>
      <c r="F15" s="23">
        <f t="shared" si="0"/>
        <v>5800</v>
      </c>
      <c r="K15" s="21"/>
      <c r="L15" s="47" t="s">
        <v>66</v>
      </c>
      <c r="M15" t="s">
        <v>67</v>
      </c>
      <c r="R15" t="s">
        <v>68</v>
      </c>
      <c r="W15" s="40">
        <f>+((((10*12)/9)*4)*0.05)*2</f>
        <v>5.3333333333333339</v>
      </c>
    </row>
    <row r="16" spans="1:23" x14ac:dyDescent="0.25">
      <c r="A16" s="44" t="s">
        <v>18</v>
      </c>
      <c r="B16" s="42" t="s">
        <v>55</v>
      </c>
      <c r="C16" s="46">
        <f>W26</f>
        <v>750</v>
      </c>
      <c r="D16" s="50" t="s">
        <v>17</v>
      </c>
      <c r="E16" s="52">
        <v>10</v>
      </c>
      <c r="F16" s="45">
        <f t="shared" si="0"/>
        <v>7500</v>
      </c>
      <c r="L16" s="47" t="s">
        <v>76</v>
      </c>
      <c r="M16" t="s">
        <v>27</v>
      </c>
      <c r="R16" t="s">
        <v>84</v>
      </c>
      <c r="W16" s="40">
        <f>+((120*12)/9)*2</f>
        <v>320</v>
      </c>
    </row>
    <row r="17" spans="1:23" x14ac:dyDescent="0.25">
      <c r="A17" s="44" t="s">
        <v>18</v>
      </c>
      <c r="B17" s="42" t="s">
        <v>99</v>
      </c>
      <c r="C17" s="46">
        <f>W24+W31</f>
        <v>3000</v>
      </c>
      <c r="D17" s="50" t="s">
        <v>17</v>
      </c>
      <c r="E17" s="52">
        <v>14</v>
      </c>
      <c r="F17" s="45">
        <f t="shared" si="0"/>
        <v>42000</v>
      </c>
      <c r="L17" s="47" t="s">
        <v>85</v>
      </c>
      <c r="M17" t="s">
        <v>5</v>
      </c>
      <c r="R17" t="s">
        <v>86</v>
      </c>
      <c r="W17" s="40">
        <f>+((120*12*1)/27)*2</f>
        <v>106.66666666666667</v>
      </c>
    </row>
    <row r="18" spans="1:23" x14ac:dyDescent="0.25">
      <c r="A18" s="44" t="s">
        <v>107</v>
      </c>
      <c r="B18" t="s">
        <v>104</v>
      </c>
      <c r="C18" s="46">
        <v>1</v>
      </c>
      <c r="D18" s="50" t="s">
        <v>97</v>
      </c>
      <c r="E18" s="52">
        <v>40000</v>
      </c>
      <c r="F18" s="45">
        <f t="shared" si="0"/>
        <v>40000</v>
      </c>
      <c r="L18" s="47"/>
    </row>
    <row r="19" spans="1:23" x14ac:dyDescent="0.25">
      <c r="A19" s="44" t="s">
        <v>92</v>
      </c>
      <c r="B19" s="42" t="s">
        <v>62</v>
      </c>
      <c r="C19" s="46">
        <f>W12</f>
        <v>13.333333333333332</v>
      </c>
      <c r="D19" s="50" t="s">
        <v>28</v>
      </c>
      <c r="E19" s="52">
        <v>650</v>
      </c>
      <c r="F19" s="45">
        <f t="shared" si="0"/>
        <v>8666.6666666666661</v>
      </c>
      <c r="L19" s="47"/>
    </row>
    <row r="20" spans="1:23" x14ac:dyDescent="0.25">
      <c r="A20" s="22"/>
      <c r="B20" s="5"/>
      <c r="C20" s="14"/>
      <c r="D20" s="6"/>
      <c r="E20" s="35"/>
      <c r="F20" s="23"/>
      <c r="L20" s="47"/>
    </row>
    <row r="21" spans="1:23" x14ac:dyDescent="0.25">
      <c r="A21" s="22"/>
      <c r="B21" s="5"/>
      <c r="C21" s="14"/>
      <c r="D21" s="6"/>
      <c r="E21" s="35"/>
      <c r="F21" s="23"/>
      <c r="L21" s="47"/>
    </row>
    <row r="22" spans="1:23" x14ac:dyDescent="0.25">
      <c r="A22" s="80" t="s">
        <v>40</v>
      </c>
      <c r="B22" s="81"/>
      <c r="C22" s="81"/>
      <c r="D22" s="81"/>
      <c r="E22" s="82"/>
      <c r="F22" s="30">
        <f>SUM(F5:F21)</f>
        <v>190852.44444444444</v>
      </c>
      <c r="L22" s="47"/>
    </row>
    <row r="23" spans="1:23" x14ac:dyDescent="0.25">
      <c r="A23" s="86" t="s">
        <v>94</v>
      </c>
      <c r="B23" s="87"/>
      <c r="C23" s="87"/>
      <c r="D23" s="87"/>
      <c r="E23" s="87"/>
      <c r="F23" s="88"/>
      <c r="L23" s="53" t="s">
        <v>52</v>
      </c>
      <c r="O23" s="21"/>
    </row>
    <row r="24" spans="1:23" x14ac:dyDescent="0.25">
      <c r="A24" s="22" t="s">
        <v>19</v>
      </c>
      <c r="B24" s="5" t="s">
        <v>15</v>
      </c>
      <c r="C24" s="14" t="s">
        <v>112</v>
      </c>
      <c r="D24" s="6" t="s">
        <v>12</v>
      </c>
      <c r="E24" s="18"/>
      <c r="F24" s="23">
        <v>0</v>
      </c>
      <c r="L24" s="47" t="s">
        <v>54</v>
      </c>
      <c r="M24" t="s">
        <v>99</v>
      </c>
      <c r="R24" t="s">
        <v>100</v>
      </c>
      <c r="W24" s="40">
        <f>+(50*24) + (24*12.5) + (24*12.5)</f>
        <v>1800</v>
      </c>
    </row>
    <row r="25" spans="1:23" x14ac:dyDescent="0.25">
      <c r="A25" s="22" t="s">
        <v>20</v>
      </c>
      <c r="B25" s="5" t="s">
        <v>10</v>
      </c>
      <c r="C25" s="14" t="s">
        <v>111</v>
      </c>
      <c r="D25" s="6" t="s">
        <v>12</v>
      </c>
      <c r="E25" s="8"/>
      <c r="F25" s="23">
        <v>0</v>
      </c>
      <c r="L25" s="47" t="s">
        <v>43</v>
      </c>
      <c r="M25" t="s">
        <v>44</v>
      </c>
      <c r="R25" t="s">
        <v>49</v>
      </c>
      <c r="W25" s="40">
        <f>+(50*24*0.5)/27 + (24*12.5*0.25)/27 + (24*12.5*0.25)/27</f>
        <v>27.777777777777779</v>
      </c>
    </row>
    <row r="26" spans="1:23" x14ac:dyDescent="0.25">
      <c r="A26" s="22" t="s">
        <v>21</v>
      </c>
      <c r="B26" s="5" t="s">
        <v>11</v>
      </c>
      <c r="C26" s="14" t="s">
        <v>113</v>
      </c>
      <c r="D26" s="6" t="s">
        <v>12</v>
      </c>
      <c r="E26" s="8"/>
      <c r="F26" s="23">
        <v>0</v>
      </c>
      <c r="L26" s="47" t="s">
        <v>54</v>
      </c>
      <c r="M26" t="s">
        <v>55</v>
      </c>
      <c r="O26" s="21"/>
      <c r="R26" t="s">
        <v>56</v>
      </c>
      <c r="W26">
        <v>750</v>
      </c>
    </row>
    <row r="27" spans="1:23" x14ac:dyDescent="0.25">
      <c r="A27" s="80" t="s">
        <v>13</v>
      </c>
      <c r="B27" s="81"/>
      <c r="C27" s="81"/>
      <c r="D27" s="81"/>
      <c r="E27" s="82"/>
      <c r="F27" s="30">
        <f>SUM(F24:F26)</f>
        <v>0</v>
      </c>
      <c r="K27" s="24"/>
      <c r="L27" s="47" t="s">
        <v>54</v>
      </c>
      <c r="M27" s="2" t="s">
        <v>89</v>
      </c>
      <c r="R27" t="s">
        <v>90</v>
      </c>
      <c r="W27">
        <f>2*50</f>
        <v>100</v>
      </c>
    </row>
    <row r="28" spans="1:23" ht="17.25" x14ac:dyDescent="0.3">
      <c r="A28" s="83" t="s">
        <v>14</v>
      </c>
      <c r="B28" s="84"/>
      <c r="C28" s="84"/>
      <c r="D28" s="84"/>
      <c r="E28" s="85"/>
      <c r="F28" s="31">
        <f>F27+F22</f>
        <v>190852.44444444444</v>
      </c>
      <c r="K28" s="24"/>
      <c r="L28" s="47"/>
    </row>
    <row r="29" spans="1:23" x14ac:dyDescent="0.25">
      <c r="A29" s="75" t="s">
        <v>110</v>
      </c>
      <c r="B29" s="76"/>
      <c r="C29" s="15"/>
      <c r="D29" s="7">
        <v>0.3</v>
      </c>
      <c r="E29" s="18"/>
      <c r="F29" s="45">
        <f>+F28*D29</f>
        <v>57255.73333333333</v>
      </c>
      <c r="L29" s="47"/>
    </row>
    <row r="30" spans="1:23" x14ac:dyDescent="0.25">
      <c r="A30" s="75" t="s">
        <v>38</v>
      </c>
      <c r="B30" s="76"/>
      <c r="C30" s="15"/>
      <c r="D30" s="34">
        <v>9.0999999999999998E-2</v>
      </c>
      <c r="E30" s="18"/>
      <c r="F30" s="45">
        <f>+(F28+F29)*D30</f>
        <v>22577.844177777777</v>
      </c>
      <c r="L30" s="53" t="s">
        <v>53</v>
      </c>
      <c r="O30" s="21"/>
    </row>
    <row r="31" spans="1:23" ht="17.25" x14ac:dyDescent="0.3">
      <c r="A31" s="83" t="s">
        <v>39</v>
      </c>
      <c r="B31" s="84"/>
      <c r="C31" s="84"/>
      <c r="D31" s="84"/>
      <c r="E31" s="85"/>
      <c r="F31" s="32">
        <f>ROUNDUP(F28*(1+D29)*(1+D30),-3)</f>
        <v>271000</v>
      </c>
      <c r="L31" s="47" t="s">
        <v>54</v>
      </c>
      <c r="M31" t="s">
        <v>99</v>
      </c>
      <c r="R31" t="s">
        <v>100</v>
      </c>
      <c r="W31" s="40">
        <f>+(50*16) + (16*12.5) + (16*12.5)</f>
        <v>1200</v>
      </c>
    </row>
    <row r="32" spans="1:23" x14ac:dyDescent="0.25">
      <c r="A32" s="12"/>
      <c r="B32" s="2"/>
      <c r="C32" s="16"/>
      <c r="D32" s="3"/>
      <c r="E32" s="19"/>
      <c r="L32" s="47" t="s">
        <v>43</v>
      </c>
      <c r="M32" t="s">
        <v>44</v>
      </c>
      <c r="R32" t="s">
        <v>49</v>
      </c>
      <c r="W32" s="40">
        <f>+(50*16*0.5)/27 + (16*12.5*0.25)/27 + (16*12.5*0.25)/27</f>
        <v>18.518518518518519</v>
      </c>
    </row>
    <row r="33" spans="1:23" x14ac:dyDescent="0.25">
      <c r="A33" s="12"/>
      <c r="B33" s="2"/>
      <c r="C33" s="16"/>
      <c r="D33" s="3"/>
      <c r="E33" s="19"/>
      <c r="L33" s="47" t="s">
        <v>54</v>
      </c>
      <c r="M33" s="2" t="s">
        <v>89</v>
      </c>
      <c r="R33" t="s">
        <v>90</v>
      </c>
      <c r="W33">
        <f>2*50</f>
        <v>100</v>
      </c>
    </row>
    <row r="34" spans="1:23" x14ac:dyDescent="0.25">
      <c r="A34" s="12"/>
      <c r="B34" s="2"/>
      <c r="C34" s="16"/>
      <c r="D34" s="3"/>
      <c r="E34" s="19"/>
    </row>
    <row r="35" spans="1:23" x14ac:dyDescent="0.25">
      <c r="A35" s="12"/>
      <c r="B35" s="2"/>
      <c r="C35" s="16"/>
      <c r="D35" s="3"/>
      <c r="E35" s="19"/>
    </row>
    <row r="36" spans="1:23" x14ac:dyDescent="0.25">
      <c r="A36" s="12"/>
      <c r="B36" s="2"/>
      <c r="C36" s="16"/>
      <c r="D36" s="3"/>
      <c r="E36" s="19"/>
      <c r="L36" s="53" t="s">
        <v>101</v>
      </c>
    </row>
    <row r="37" spans="1:23" x14ac:dyDescent="0.25">
      <c r="A37" s="12"/>
      <c r="B37" s="2"/>
      <c r="C37" s="16"/>
      <c r="D37" s="3"/>
      <c r="E37" s="19"/>
      <c r="L37" s="47" t="s">
        <v>103</v>
      </c>
      <c r="M37" t="s">
        <v>104</v>
      </c>
      <c r="R37" t="s">
        <v>105</v>
      </c>
      <c r="W37">
        <v>1</v>
      </c>
    </row>
    <row r="38" spans="1:23" x14ac:dyDescent="0.25">
      <c r="A38" s="12"/>
      <c r="B38" s="2"/>
      <c r="C38" s="16"/>
      <c r="D38" s="3"/>
      <c r="E38" s="19"/>
      <c r="L38" t="s">
        <v>54</v>
      </c>
      <c r="M38" t="s">
        <v>23</v>
      </c>
      <c r="R38" t="s">
        <v>102</v>
      </c>
      <c r="W38">
        <f>4*100</f>
        <v>400</v>
      </c>
    </row>
    <row r="39" spans="1:23" x14ac:dyDescent="0.25">
      <c r="A39" s="12"/>
      <c r="B39" s="2"/>
      <c r="C39" s="16"/>
      <c r="D39" s="3"/>
      <c r="E39" s="19"/>
      <c r="L39" s="47" t="s">
        <v>54</v>
      </c>
      <c r="M39" s="2" t="s">
        <v>89</v>
      </c>
      <c r="R39" t="s">
        <v>90</v>
      </c>
      <c r="W39">
        <f>(4*2)*4</f>
        <v>32</v>
      </c>
    </row>
    <row r="40" spans="1:23" x14ac:dyDescent="0.25">
      <c r="A40" s="12"/>
      <c r="B40" s="2"/>
      <c r="C40" s="16"/>
      <c r="D40" s="3"/>
      <c r="E40" s="19"/>
    </row>
    <row r="41" spans="1:23" x14ac:dyDescent="0.25">
      <c r="A41" s="12"/>
      <c r="B41" s="2"/>
      <c r="C41" s="16"/>
      <c r="D41" s="3"/>
      <c r="E41" s="19"/>
    </row>
    <row r="42" spans="1:23" x14ac:dyDescent="0.25">
      <c r="A42" s="12"/>
      <c r="B42" s="2"/>
      <c r="C42" s="16"/>
      <c r="D42" s="3"/>
      <c r="E42" s="19"/>
    </row>
    <row r="43" spans="1:23" x14ac:dyDescent="0.25">
      <c r="A43" s="12"/>
      <c r="B43" s="2"/>
      <c r="C43" s="16"/>
      <c r="D43" s="3"/>
    </row>
    <row r="44" spans="1:23" x14ac:dyDescent="0.25">
      <c r="A44" s="12"/>
      <c r="B44" t="s">
        <v>30</v>
      </c>
      <c r="C44" s="16"/>
      <c r="D44" s="3"/>
    </row>
    <row r="45" spans="1:23" x14ac:dyDescent="0.25">
      <c r="A45" s="12"/>
      <c r="B45" t="s">
        <v>31</v>
      </c>
      <c r="C45" s="16"/>
      <c r="D45" s="3"/>
    </row>
    <row r="46" spans="1:23" x14ac:dyDescent="0.25">
      <c r="A46" s="12"/>
      <c r="B46" t="s">
        <v>32</v>
      </c>
      <c r="C46" s="16"/>
      <c r="D46" s="3"/>
    </row>
    <row r="47" spans="1:23" x14ac:dyDescent="0.25">
      <c r="A47" s="12"/>
      <c r="B47" t="s">
        <v>33</v>
      </c>
      <c r="C47" s="16"/>
      <c r="D47" s="3"/>
    </row>
    <row r="48" spans="1:23" x14ac:dyDescent="0.25">
      <c r="A48" s="12"/>
      <c r="B48" t="s">
        <v>34</v>
      </c>
      <c r="C48" s="16"/>
      <c r="D48" s="3"/>
    </row>
    <row r="49" spans="1:5" x14ac:dyDescent="0.25">
      <c r="A49" s="12"/>
      <c r="B49" t="s">
        <v>35</v>
      </c>
      <c r="C49" s="16"/>
      <c r="D49" s="3"/>
    </row>
    <row r="50" spans="1:5" x14ac:dyDescent="0.25">
      <c r="A50" s="12"/>
      <c r="B50" t="s">
        <v>36</v>
      </c>
      <c r="C50" s="16"/>
      <c r="D50" s="3"/>
      <c r="E50" s="19"/>
    </row>
    <row r="51" spans="1:5" x14ac:dyDescent="0.25">
      <c r="E51" s="19"/>
    </row>
    <row r="52" spans="1:5" x14ac:dyDescent="0.25">
      <c r="E52" s="19"/>
    </row>
    <row r="53" spans="1:5" x14ac:dyDescent="0.25">
      <c r="E53" s="19"/>
    </row>
    <row r="54" spans="1:5" x14ac:dyDescent="0.25">
      <c r="E54" s="19"/>
    </row>
  </sheetData>
  <mergeCells count="11">
    <mergeCell ref="A28:E28"/>
    <mergeCell ref="A29:B29"/>
    <mergeCell ref="A30:B30"/>
    <mergeCell ref="A31:E31"/>
    <mergeCell ref="A1:F1"/>
    <mergeCell ref="A27:E27"/>
    <mergeCell ref="H2:O2"/>
    <mergeCell ref="A3:F3"/>
    <mergeCell ref="A4:F4"/>
    <mergeCell ref="A22:E22"/>
    <mergeCell ref="A23:F23"/>
  </mergeCells>
  <phoneticPr fontId="7" type="noConversion"/>
  <pageMargins left="0.7" right="0.7" top="0.75" bottom="0.75" header="0.3" footer="0.3"/>
  <pageSetup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837D2-330F-40BB-B4B6-464366D83B5A}">
  <sheetPr>
    <pageSetUpPr fitToPage="1"/>
  </sheetPr>
  <dimension ref="A1:V76"/>
  <sheetViews>
    <sheetView tabSelected="1" topLeftCell="A14" zoomScale="80" zoomScaleNormal="80" zoomScalePageLayoutView="85" workbookViewId="0">
      <selection activeCell="L75" sqref="L75"/>
    </sheetView>
  </sheetViews>
  <sheetFormatPr defaultRowHeight="15" x14ac:dyDescent="0.25"/>
  <cols>
    <col min="1" max="1" width="7.42578125" style="13" customWidth="1"/>
    <col min="2" max="2" width="69" customWidth="1"/>
    <col min="3" max="3" width="18.7109375" style="17" customWidth="1"/>
    <col min="4" max="4" width="11.28515625" style="4" customWidth="1"/>
    <col min="5" max="5" width="14.140625" style="20" customWidth="1"/>
    <col min="6" max="6" width="15.85546875" style="10" customWidth="1"/>
    <col min="9" max="9" width="19.5703125" customWidth="1"/>
    <col min="13" max="13" width="21" customWidth="1"/>
    <col min="15" max="15" width="5.28515625" customWidth="1"/>
    <col min="16" max="16" width="5.85546875" customWidth="1"/>
    <col min="17" max="17" width="3.5703125" customWidth="1"/>
    <col min="18" max="18" width="2.7109375" customWidth="1"/>
    <col min="19" max="19" width="12" bestFit="1" customWidth="1"/>
    <col min="21" max="21" width="12.7109375" customWidth="1"/>
  </cols>
  <sheetData>
    <row r="1" spans="1:19" s="1" customFormat="1" ht="31.9" customHeight="1" thickBot="1" x14ac:dyDescent="0.3">
      <c r="A1" s="74" t="s">
        <v>37</v>
      </c>
      <c r="B1" s="74"/>
      <c r="C1" s="74"/>
      <c r="D1" s="74"/>
      <c r="E1" s="74"/>
      <c r="F1" s="74"/>
      <c r="H1" s="91"/>
      <c r="I1" s="91"/>
      <c r="J1" s="91"/>
      <c r="K1" s="91"/>
      <c r="L1" s="91"/>
      <c r="M1" s="91"/>
      <c r="N1" s="91"/>
      <c r="O1" s="91"/>
    </row>
    <row r="2" spans="1:19" ht="28.5" x14ac:dyDescent="0.25">
      <c r="A2" s="25" t="s">
        <v>0</v>
      </c>
      <c r="B2" s="26" t="s">
        <v>1</v>
      </c>
      <c r="C2" s="27" t="s">
        <v>4</v>
      </c>
      <c r="D2" s="26" t="s">
        <v>2</v>
      </c>
      <c r="E2" s="28" t="s">
        <v>3</v>
      </c>
      <c r="F2" s="29" t="s">
        <v>22</v>
      </c>
      <c r="H2" s="11"/>
    </row>
    <row r="3" spans="1:19" x14ac:dyDescent="0.25">
      <c r="A3" s="77" t="s">
        <v>29</v>
      </c>
      <c r="B3" s="78"/>
      <c r="C3" s="78"/>
      <c r="D3" s="78"/>
      <c r="E3" s="78"/>
      <c r="F3" s="79"/>
      <c r="H3" s="11"/>
    </row>
    <row r="4" spans="1:19" x14ac:dyDescent="0.25">
      <c r="A4" s="69"/>
      <c r="B4" s="70"/>
      <c r="C4" s="70"/>
      <c r="D4" s="70"/>
      <c r="E4" s="70"/>
      <c r="F4" s="71"/>
      <c r="H4" s="11" t="s">
        <v>60</v>
      </c>
    </row>
    <row r="5" spans="1:19" x14ac:dyDescent="0.25">
      <c r="A5" s="36">
        <v>202</v>
      </c>
      <c r="B5" s="38" t="s">
        <v>27</v>
      </c>
      <c r="C5" s="48">
        <f>S16</f>
        <v>400</v>
      </c>
      <c r="D5" s="37" t="s">
        <v>6</v>
      </c>
      <c r="E5" s="39">
        <v>17</v>
      </c>
      <c r="F5" s="23">
        <f t="shared" ref="F5:F17" si="0">+C5*E5</f>
        <v>6800</v>
      </c>
      <c r="H5" t="s">
        <v>74</v>
      </c>
    </row>
    <row r="6" spans="1:19" x14ac:dyDescent="0.25">
      <c r="A6" s="22" t="s">
        <v>26</v>
      </c>
      <c r="B6" s="42" t="s">
        <v>80</v>
      </c>
      <c r="C6" s="14">
        <f>S14</f>
        <v>29.62962962962963</v>
      </c>
      <c r="D6" s="6" t="s">
        <v>7</v>
      </c>
      <c r="E6" s="35">
        <v>220</v>
      </c>
      <c r="F6" s="23">
        <f t="shared" si="0"/>
        <v>6518.5185185185182</v>
      </c>
      <c r="H6" t="s">
        <v>75</v>
      </c>
      <c r="S6" s="41" t="s">
        <v>51</v>
      </c>
    </row>
    <row r="7" spans="1:19" x14ac:dyDescent="0.25">
      <c r="A7" s="22" t="s">
        <v>16</v>
      </c>
      <c r="B7" t="s">
        <v>44</v>
      </c>
      <c r="C7" s="14">
        <f>S9+S26+S34</f>
        <v>41.833333333333343</v>
      </c>
      <c r="D7" s="6" t="s">
        <v>7</v>
      </c>
      <c r="E7" s="35">
        <v>80</v>
      </c>
      <c r="F7" s="23">
        <f t="shared" si="0"/>
        <v>3346.6666666666674</v>
      </c>
      <c r="H7" s="47" t="s">
        <v>41</v>
      </c>
      <c r="I7" t="s">
        <v>47</v>
      </c>
      <c r="N7" t="s">
        <v>48</v>
      </c>
      <c r="S7" s="40">
        <f>+((100*12)/9)*2</f>
        <v>266.66666666666669</v>
      </c>
    </row>
    <row r="8" spans="1:19" x14ac:dyDescent="0.25">
      <c r="A8" s="22" t="s">
        <v>24</v>
      </c>
      <c r="B8" s="5" t="s">
        <v>67</v>
      </c>
      <c r="C8" s="14">
        <f>S15</f>
        <v>13.333333333333336</v>
      </c>
      <c r="D8" s="6" t="s">
        <v>25</v>
      </c>
      <c r="E8" s="35">
        <v>4</v>
      </c>
      <c r="F8" s="23">
        <f t="shared" si="0"/>
        <v>53.333333333333343</v>
      </c>
      <c r="H8" s="47" t="s">
        <v>41</v>
      </c>
      <c r="I8" t="s">
        <v>42</v>
      </c>
      <c r="N8" t="s">
        <v>77</v>
      </c>
      <c r="S8" s="40">
        <f>+((8*12)/9)*4</f>
        <v>42.666666666666664</v>
      </c>
    </row>
    <row r="9" spans="1:19" x14ac:dyDescent="0.25">
      <c r="A9" s="22" t="s">
        <v>87</v>
      </c>
      <c r="B9" s="42" t="s">
        <v>69</v>
      </c>
      <c r="C9" s="14">
        <f>S12</f>
        <v>4.6296296296296298</v>
      </c>
      <c r="D9" s="6" t="s">
        <v>7</v>
      </c>
      <c r="E9" s="35">
        <v>280</v>
      </c>
      <c r="F9" s="23">
        <f t="shared" si="0"/>
        <v>1296.2962962962963</v>
      </c>
      <c r="H9" s="47" t="s">
        <v>43</v>
      </c>
      <c r="I9" t="s">
        <v>9</v>
      </c>
      <c r="N9" t="s">
        <v>49</v>
      </c>
      <c r="S9" s="40">
        <f>+((8*12*0.5)/27)*4</f>
        <v>7.1111111111111107</v>
      </c>
    </row>
    <row r="10" spans="1:19" x14ac:dyDescent="0.25">
      <c r="A10" s="22" t="s">
        <v>87</v>
      </c>
      <c r="B10" s="42" t="s">
        <v>78</v>
      </c>
      <c r="C10" s="14">
        <v>6</v>
      </c>
      <c r="D10" s="6" t="s">
        <v>7</v>
      </c>
      <c r="E10" s="35">
        <v>250</v>
      </c>
      <c r="F10" s="23">
        <f t="shared" si="0"/>
        <v>1500</v>
      </c>
      <c r="H10" s="47" t="s">
        <v>45</v>
      </c>
      <c r="I10" t="s">
        <v>46</v>
      </c>
      <c r="N10" t="s">
        <v>50</v>
      </c>
      <c r="S10">
        <f>12*4</f>
        <v>48</v>
      </c>
    </row>
    <row r="11" spans="1:19" x14ac:dyDescent="0.25">
      <c r="A11" s="51" t="s">
        <v>88</v>
      </c>
      <c r="B11" s="42" t="s">
        <v>42</v>
      </c>
      <c r="C11" s="14">
        <f>S8</f>
        <v>42.666666666666664</v>
      </c>
      <c r="D11" s="6" t="s">
        <v>6</v>
      </c>
      <c r="E11" s="35">
        <v>120</v>
      </c>
      <c r="F11" s="23">
        <f t="shared" si="0"/>
        <v>5120</v>
      </c>
      <c r="H11" s="47" t="s">
        <v>63</v>
      </c>
      <c r="I11" t="s">
        <v>62</v>
      </c>
      <c r="K11" s="21"/>
      <c r="N11" t="s">
        <v>64</v>
      </c>
      <c r="S11" s="40">
        <f>+(12*(20/12)*(2/12))*4</f>
        <v>13.333333333333332</v>
      </c>
    </row>
    <row r="12" spans="1:19" x14ac:dyDescent="0.25">
      <c r="A12" s="51" t="s">
        <v>88</v>
      </c>
      <c r="B12" s="42" t="s">
        <v>47</v>
      </c>
      <c r="C12" s="14">
        <f>S7</f>
        <v>266.66666666666669</v>
      </c>
      <c r="D12" s="6" t="s">
        <v>6</v>
      </c>
      <c r="E12" s="35">
        <v>150</v>
      </c>
      <c r="F12" s="23">
        <f t="shared" si="0"/>
        <v>40000</v>
      </c>
      <c r="H12" s="47" t="s">
        <v>65</v>
      </c>
      <c r="I12" t="s">
        <v>69</v>
      </c>
      <c r="N12" t="s">
        <v>72</v>
      </c>
      <c r="S12" s="40">
        <f>+((25*12*(1.25/12))/27)*4</f>
        <v>4.6296296296296298</v>
      </c>
    </row>
    <row r="13" spans="1:19" x14ac:dyDescent="0.25">
      <c r="A13" s="43" t="s">
        <v>91</v>
      </c>
      <c r="B13" s="42" t="s">
        <v>93</v>
      </c>
      <c r="C13" s="46">
        <f>S10</f>
        <v>48</v>
      </c>
      <c r="D13" s="50" t="s">
        <v>8</v>
      </c>
      <c r="E13" s="52">
        <v>10</v>
      </c>
      <c r="F13" s="45">
        <f t="shared" si="0"/>
        <v>480</v>
      </c>
      <c r="H13" s="47" t="s">
        <v>65</v>
      </c>
      <c r="I13" t="s">
        <v>78</v>
      </c>
      <c r="N13" t="s">
        <v>71</v>
      </c>
      <c r="S13" s="40">
        <f>+((25*12*(1.75/12))/27)*2*2</f>
        <v>6.4814814814814818</v>
      </c>
    </row>
    <row r="14" spans="1:19" x14ac:dyDescent="0.25">
      <c r="A14" s="51" t="s">
        <v>18</v>
      </c>
      <c r="B14" s="5" t="s">
        <v>89</v>
      </c>
      <c r="C14" s="14">
        <f>S27+S36</f>
        <v>200</v>
      </c>
      <c r="D14" s="6" t="s">
        <v>17</v>
      </c>
      <c r="E14" s="49">
        <v>25</v>
      </c>
      <c r="F14" s="23">
        <f t="shared" si="0"/>
        <v>5000</v>
      </c>
      <c r="H14" s="47" t="s">
        <v>79</v>
      </c>
      <c r="I14" t="s">
        <v>80</v>
      </c>
      <c r="N14" t="s">
        <v>81</v>
      </c>
      <c r="S14" s="40">
        <f>+((25*12*(8/12))/27)*4</f>
        <v>29.62962962962963</v>
      </c>
    </row>
    <row r="15" spans="1:19" x14ac:dyDescent="0.25">
      <c r="A15" s="44" t="s">
        <v>18</v>
      </c>
      <c r="B15" s="42" t="s">
        <v>55</v>
      </c>
      <c r="C15" s="46">
        <f>S35</f>
        <v>1700</v>
      </c>
      <c r="D15" s="50" t="s">
        <v>17</v>
      </c>
      <c r="E15" s="52">
        <v>10</v>
      </c>
      <c r="F15" s="45">
        <f t="shared" si="0"/>
        <v>17000</v>
      </c>
      <c r="H15" s="47" t="s">
        <v>66</v>
      </c>
      <c r="I15" t="s">
        <v>67</v>
      </c>
      <c r="N15" t="s">
        <v>68</v>
      </c>
      <c r="S15" s="40">
        <f>+((((25*12)/9)*4)*0.05)*2</f>
        <v>13.333333333333336</v>
      </c>
    </row>
    <row r="16" spans="1:19" x14ac:dyDescent="0.25">
      <c r="A16" s="44" t="s">
        <v>18</v>
      </c>
      <c r="B16" s="42" t="s">
        <v>99</v>
      </c>
      <c r="C16" s="46">
        <f>S25+S33</f>
        <v>2250</v>
      </c>
      <c r="D16" s="50" t="s">
        <v>17</v>
      </c>
      <c r="E16" s="52">
        <v>14</v>
      </c>
      <c r="F16" s="45">
        <f t="shared" si="0"/>
        <v>31500</v>
      </c>
      <c r="H16" s="47" t="s">
        <v>76</v>
      </c>
      <c r="I16" t="s">
        <v>27</v>
      </c>
      <c r="N16" t="s">
        <v>84</v>
      </c>
      <c r="S16" s="40">
        <f>+((150*12)/9)*2</f>
        <v>400</v>
      </c>
    </row>
    <row r="17" spans="1:22" x14ac:dyDescent="0.25">
      <c r="A17" s="44" t="s">
        <v>92</v>
      </c>
      <c r="B17" s="42" t="s">
        <v>62</v>
      </c>
      <c r="C17" s="46">
        <f>S11</f>
        <v>13.333333333333332</v>
      </c>
      <c r="D17" s="50" t="s">
        <v>28</v>
      </c>
      <c r="E17" s="52">
        <v>650</v>
      </c>
      <c r="F17" s="45">
        <f t="shared" si="0"/>
        <v>8666.6666666666661</v>
      </c>
    </row>
    <row r="18" spans="1:22" x14ac:dyDescent="0.25">
      <c r="A18" s="22"/>
      <c r="B18" s="5"/>
      <c r="C18" s="14"/>
      <c r="D18" s="6"/>
      <c r="E18" s="35"/>
      <c r="F18" s="23"/>
      <c r="V18" s="21"/>
    </row>
    <row r="19" spans="1:22" x14ac:dyDescent="0.25">
      <c r="A19" s="22"/>
      <c r="B19" s="5"/>
      <c r="C19" s="14"/>
      <c r="D19" s="6"/>
      <c r="E19" s="35"/>
      <c r="F19" s="23"/>
      <c r="V19" s="21"/>
    </row>
    <row r="20" spans="1:22" x14ac:dyDescent="0.25">
      <c r="A20" s="22"/>
      <c r="B20" s="5"/>
      <c r="C20" s="14"/>
      <c r="D20" s="6"/>
      <c r="E20" s="35"/>
      <c r="F20" s="23"/>
    </row>
    <row r="21" spans="1:22" x14ac:dyDescent="0.25">
      <c r="A21" s="22"/>
      <c r="B21" s="5"/>
      <c r="C21" s="14"/>
      <c r="D21" s="6"/>
      <c r="E21" s="35"/>
      <c r="F21" s="23"/>
    </row>
    <row r="22" spans="1:22" x14ac:dyDescent="0.25">
      <c r="A22" s="72" t="s">
        <v>40</v>
      </c>
      <c r="B22" s="73"/>
      <c r="C22" s="73"/>
      <c r="D22" s="73"/>
      <c r="E22" s="73"/>
      <c r="F22" s="30">
        <f>SUM(F5:F21)</f>
        <v>127281.48148148149</v>
      </c>
    </row>
    <row r="23" spans="1:22" x14ac:dyDescent="0.25">
      <c r="A23" s="69" t="s">
        <v>94</v>
      </c>
      <c r="B23" s="70"/>
      <c r="C23" s="70"/>
      <c r="D23" s="70"/>
      <c r="E23" s="70"/>
      <c r="F23" s="71"/>
    </row>
    <row r="24" spans="1:22" x14ac:dyDescent="0.25">
      <c r="A24" s="22" t="s">
        <v>19</v>
      </c>
      <c r="B24" s="5" t="s">
        <v>15</v>
      </c>
      <c r="C24" s="14" t="s">
        <v>112</v>
      </c>
      <c r="D24" s="6" t="s">
        <v>12</v>
      </c>
      <c r="E24" s="18"/>
      <c r="F24" s="23">
        <v>0</v>
      </c>
      <c r="H24" s="11" t="s">
        <v>82</v>
      </c>
      <c r="K24" s="21"/>
    </row>
    <row r="25" spans="1:22" x14ac:dyDescent="0.25">
      <c r="A25" s="22" t="s">
        <v>20</v>
      </c>
      <c r="B25" s="5" t="s">
        <v>10</v>
      </c>
      <c r="C25" s="14" t="s">
        <v>111</v>
      </c>
      <c r="D25" s="6" t="s">
        <v>12</v>
      </c>
      <c r="E25" s="8"/>
      <c r="F25" s="23">
        <v>0</v>
      </c>
      <c r="H25" t="s">
        <v>54</v>
      </c>
      <c r="I25" t="s">
        <v>99</v>
      </c>
      <c r="N25" t="s">
        <v>100</v>
      </c>
      <c r="S25" s="40">
        <f>+(50*20) + (20*12.5) + (20*12.5)</f>
        <v>1500</v>
      </c>
    </row>
    <row r="26" spans="1:22" x14ac:dyDescent="0.25">
      <c r="A26" s="22" t="s">
        <v>21</v>
      </c>
      <c r="B26" s="5" t="s">
        <v>11</v>
      </c>
      <c r="C26" s="14" t="s">
        <v>113</v>
      </c>
      <c r="D26" s="6" t="s">
        <v>12</v>
      </c>
      <c r="E26" s="8"/>
      <c r="F26" s="23">
        <v>0</v>
      </c>
      <c r="H26" t="s">
        <v>43</v>
      </c>
      <c r="I26" t="s">
        <v>44</v>
      </c>
      <c r="N26" t="s">
        <v>49</v>
      </c>
      <c r="S26" s="40">
        <f>+(50*20*0.5)/27 + (20*12.5*0.25)/27 + (20*12.5*0.25)/27</f>
        <v>23.148148148148152</v>
      </c>
    </row>
    <row r="27" spans="1:22" x14ac:dyDescent="0.25">
      <c r="A27" s="72" t="s">
        <v>13</v>
      </c>
      <c r="B27" s="73"/>
      <c r="C27" s="73"/>
      <c r="D27" s="73"/>
      <c r="E27" s="73"/>
      <c r="F27" s="30">
        <f>SUM(F24:F26)</f>
        <v>0</v>
      </c>
      <c r="H27" s="47" t="s">
        <v>54</v>
      </c>
      <c r="I27" s="2" t="s">
        <v>89</v>
      </c>
      <c r="N27" t="s">
        <v>90</v>
      </c>
      <c r="S27">
        <f>+(50*2)</f>
        <v>100</v>
      </c>
    </row>
    <row r="28" spans="1:22" ht="17.25" x14ac:dyDescent="0.3">
      <c r="A28" s="89" t="s">
        <v>14</v>
      </c>
      <c r="B28" s="90"/>
      <c r="C28" s="90"/>
      <c r="D28" s="90"/>
      <c r="E28" s="90"/>
      <c r="F28" s="31">
        <f>F27+F22</f>
        <v>127281.48148148149</v>
      </c>
    </row>
    <row r="29" spans="1:22" x14ac:dyDescent="0.25">
      <c r="A29" s="75" t="s">
        <v>110</v>
      </c>
      <c r="B29" s="76"/>
      <c r="C29" s="15"/>
      <c r="D29" s="7">
        <v>0.3</v>
      </c>
      <c r="E29" s="18"/>
      <c r="F29" s="45">
        <f>+F28*D29</f>
        <v>38184.444444444445</v>
      </c>
    </row>
    <row r="30" spans="1:22" x14ac:dyDescent="0.25">
      <c r="A30" s="75" t="s">
        <v>38</v>
      </c>
      <c r="B30" s="76"/>
      <c r="C30" s="15"/>
      <c r="D30" s="34">
        <v>9.0999999999999998E-2</v>
      </c>
      <c r="E30" s="18"/>
      <c r="F30" s="45">
        <f>+(F28+F29)*D30</f>
        <v>15057.399259259259</v>
      </c>
    </row>
    <row r="31" spans="1:22" ht="17.25" x14ac:dyDescent="0.3">
      <c r="A31" s="89" t="s">
        <v>39</v>
      </c>
      <c r="B31" s="90"/>
      <c r="C31" s="90"/>
      <c r="D31" s="90"/>
      <c r="E31" s="90"/>
      <c r="F31" s="32">
        <f>ROUNDUP(F28*(1+D29)*(1+D30),-3)</f>
        <v>181000</v>
      </c>
    </row>
    <row r="32" spans="1:22" x14ac:dyDescent="0.25">
      <c r="A32" s="12"/>
      <c r="B32" s="2"/>
      <c r="C32" s="16"/>
      <c r="D32" s="3"/>
      <c r="E32" s="9"/>
      <c r="H32" s="11" t="s">
        <v>83</v>
      </c>
      <c r="K32" s="21"/>
    </row>
    <row r="33" spans="1:19" x14ac:dyDescent="0.25">
      <c r="A33" s="12"/>
      <c r="B33" s="2"/>
      <c r="C33" s="16"/>
      <c r="D33" s="3"/>
      <c r="E33" s="10"/>
      <c r="F33"/>
      <c r="H33" t="s">
        <v>54</v>
      </c>
      <c r="I33" t="s">
        <v>99</v>
      </c>
      <c r="N33" t="s">
        <v>100</v>
      </c>
      <c r="S33" s="40">
        <f>+(50*10) + (10*12.5) + (10*12.5)</f>
        <v>750</v>
      </c>
    </row>
    <row r="34" spans="1:19" x14ac:dyDescent="0.25">
      <c r="A34" s="12"/>
      <c r="B34" s="2"/>
      <c r="C34" s="16"/>
      <c r="D34" s="3"/>
      <c r="E34" s="10"/>
      <c r="F34"/>
      <c r="H34" t="s">
        <v>43</v>
      </c>
      <c r="I34" t="s">
        <v>44</v>
      </c>
      <c r="N34" t="s">
        <v>49</v>
      </c>
      <c r="S34" s="40">
        <f>+(50*10*0.5)/27 + (10*12.5*0.25)/27 + (10*12.5*0.25)/27</f>
        <v>11.574074074074076</v>
      </c>
    </row>
    <row r="35" spans="1:19" x14ac:dyDescent="0.25">
      <c r="A35" s="12"/>
      <c r="B35" s="2"/>
      <c r="C35" s="16"/>
      <c r="D35" s="3"/>
      <c r="E35" s="9"/>
      <c r="H35" t="s">
        <v>54</v>
      </c>
      <c r="I35" t="s">
        <v>55</v>
      </c>
      <c r="K35" s="21"/>
      <c r="N35" t="s">
        <v>56</v>
      </c>
      <c r="S35">
        <v>1700</v>
      </c>
    </row>
    <row r="36" spans="1:19" x14ac:dyDescent="0.25">
      <c r="A36" s="12"/>
      <c r="B36" s="2"/>
      <c r="C36" s="16"/>
      <c r="D36" s="3"/>
      <c r="E36" s="19"/>
      <c r="H36" s="47" t="s">
        <v>54</v>
      </c>
      <c r="I36" s="2" t="s">
        <v>89</v>
      </c>
      <c r="N36" t="s">
        <v>90</v>
      </c>
      <c r="S36">
        <f>+(50*2)</f>
        <v>100</v>
      </c>
    </row>
    <row r="37" spans="1:19" x14ac:dyDescent="0.25">
      <c r="A37" s="12"/>
      <c r="B37" s="2"/>
      <c r="C37" s="16"/>
      <c r="D37" s="3"/>
      <c r="E37" s="19"/>
    </row>
    <row r="38" spans="1:19" x14ac:dyDescent="0.25">
      <c r="A38" s="12"/>
      <c r="B38" s="2"/>
      <c r="C38" s="16"/>
      <c r="D38" s="3"/>
      <c r="E38" s="19"/>
      <c r="L38" s="33"/>
    </row>
    <row r="39" spans="1:19" x14ac:dyDescent="0.25">
      <c r="A39" s="12"/>
      <c r="B39" s="2"/>
      <c r="C39" s="16"/>
      <c r="D39" s="3"/>
      <c r="E39" s="19"/>
    </row>
    <row r="40" spans="1:19" x14ac:dyDescent="0.25">
      <c r="A40" s="12"/>
      <c r="B40" s="2"/>
      <c r="C40" s="16"/>
      <c r="D40" s="3"/>
      <c r="E40" s="19"/>
    </row>
    <row r="41" spans="1:19" x14ac:dyDescent="0.25">
      <c r="A41" s="12"/>
      <c r="B41" s="2"/>
      <c r="C41" s="16"/>
      <c r="D41" s="3"/>
      <c r="E41" s="19"/>
    </row>
    <row r="42" spans="1:19" x14ac:dyDescent="0.25">
      <c r="A42" s="12"/>
      <c r="B42" s="2"/>
      <c r="C42" s="16"/>
      <c r="D42" s="3"/>
      <c r="E42" s="19"/>
    </row>
    <row r="43" spans="1:19" x14ac:dyDescent="0.25">
      <c r="A43" s="12"/>
      <c r="B43" s="2"/>
      <c r="C43" s="16"/>
      <c r="D43" s="3"/>
      <c r="E43" s="19"/>
    </row>
    <row r="44" spans="1:19" x14ac:dyDescent="0.25">
      <c r="A44" s="12"/>
      <c r="B44" s="2"/>
      <c r="C44" s="16"/>
      <c r="D44" s="3"/>
      <c r="E44" s="19"/>
    </row>
    <row r="45" spans="1:19" x14ac:dyDescent="0.25">
      <c r="A45" s="12"/>
      <c r="B45" s="2"/>
      <c r="C45" s="16"/>
      <c r="D45" s="3"/>
      <c r="E45" s="19"/>
    </row>
    <row r="46" spans="1:19" x14ac:dyDescent="0.25">
      <c r="A46" s="12"/>
      <c r="B46" s="2"/>
      <c r="C46" s="16"/>
      <c r="D46" s="3"/>
      <c r="E46" s="19"/>
    </row>
    <row r="47" spans="1:19" x14ac:dyDescent="0.25">
      <c r="A47" s="12"/>
      <c r="B47" s="2"/>
      <c r="C47" s="16"/>
      <c r="D47" s="3"/>
      <c r="E47" s="19"/>
    </row>
    <row r="48" spans="1:19" x14ac:dyDescent="0.25">
      <c r="A48" s="12"/>
      <c r="B48" s="2"/>
      <c r="C48" s="16"/>
      <c r="D48" s="3"/>
      <c r="E48" s="19"/>
    </row>
    <row r="49" spans="1:21" x14ac:dyDescent="0.25">
      <c r="A49" s="12"/>
      <c r="B49" s="2"/>
      <c r="C49" s="16"/>
      <c r="D49" s="3"/>
      <c r="E49" s="19"/>
    </row>
    <row r="50" spans="1:21" x14ac:dyDescent="0.25">
      <c r="A50" s="12"/>
      <c r="B50" s="2"/>
      <c r="C50" s="16"/>
      <c r="D50" s="3"/>
      <c r="E50" s="19"/>
    </row>
    <row r="51" spans="1:21" x14ac:dyDescent="0.25">
      <c r="A51" s="12"/>
      <c r="B51" s="2"/>
      <c r="C51" s="16"/>
      <c r="D51" s="3"/>
      <c r="E51" s="19"/>
    </row>
    <row r="52" spans="1:21" x14ac:dyDescent="0.25">
      <c r="A52" s="12"/>
      <c r="B52" s="2"/>
      <c r="C52" s="16"/>
      <c r="D52" s="3"/>
      <c r="E52" s="19"/>
    </row>
    <row r="53" spans="1:21" x14ac:dyDescent="0.25">
      <c r="A53" s="12"/>
      <c r="B53" s="2"/>
      <c r="C53" s="16"/>
      <c r="D53" s="3"/>
      <c r="E53" s="19"/>
    </row>
    <row r="54" spans="1:21" x14ac:dyDescent="0.25">
      <c r="A54" s="12"/>
      <c r="B54" s="2"/>
      <c r="C54" s="16"/>
      <c r="D54" s="3"/>
      <c r="E54" s="19"/>
    </row>
    <row r="55" spans="1:21" x14ac:dyDescent="0.25">
      <c r="E55" s="19"/>
    </row>
    <row r="56" spans="1:21" x14ac:dyDescent="0.25">
      <c r="E56" s="19"/>
    </row>
    <row r="57" spans="1:21" x14ac:dyDescent="0.25">
      <c r="E57" s="19"/>
    </row>
    <row r="58" spans="1:21" x14ac:dyDescent="0.25">
      <c r="E58" s="19"/>
    </row>
    <row r="63" spans="1:21" s="10" customFormat="1" x14ac:dyDescent="0.25">
      <c r="A63" s="13"/>
      <c r="B63"/>
      <c r="C63" s="17"/>
      <c r="D63" s="4"/>
      <c r="E63" s="20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s="10" customFormat="1" x14ac:dyDescent="0.25">
      <c r="A64" s="13"/>
      <c r="B64"/>
      <c r="C64" s="17"/>
      <c r="D64" s="4"/>
      <c r="E64" s="20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s="10" customFormat="1" x14ac:dyDescent="0.25">
      <c r="A65" s="13"/>
      <c r="B65"/>
      <c r="C65" s="17"/>
      <c r="D65" s="4"/>
      <c r="E65" s="20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s="10" customFormat="1" x14ac:dyDescent="0.25">
      <c r="A66" s="13"/>
      <c r="B66"/>
      <c r="C66" s="17"/>
      <c r="D66" s="4"/>
      <c r="E66" s="20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1" s="10" customFormat="1" x14ac:dyDescent="0.25">
      <c r="A67" s="13"/>
      <c r="B67"/>
      <c r="C67" s="17"/>
      <c r="D67" s="4"/>
      <c r="E67" s="20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1" s="10" customFormat="1" x14ac:dyDescent="0.25">
      <c r="A68" s="13"/>
      <c r="B68"/>
      <c r="C68" s="17"/>
      <c r="D68" s="4"/>
      <c r="E68" s="20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1" s="10" customFormat="1" x14ac:dyDescent="0.25">
      <c r="A69" s="13"/>
      <c r="B69"/>
      <c r="C69" s="17"/>
      <c r="D69" s="4"/>
      <c r="E69" s="20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1" s="10" customFormat="1" x14ac:dyDescent="0.25">
      <c r="A70" s="13"/>
      <c r="B70"/>
      <c r="C70" s="17"/>
      <c r="D70" s="4"/>
      <c r="E70" s="2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</row>
    <row r="71" spans="1:21" s="10" customFormat="1" x14ac:dyDescent="0.25">
      <c r="A71" s="13"/>
      <c r="B71"/>
      <c r="C71" s="17"/>
      <c r="D71" s="4"/>
      <c r="E71" s="20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</row>
    <row r="72" spans="1:21" s="10" customFormat="1" x14ac:dyDescent="0.25">
      <c r="A72" s="13"/>
      <c r="B72"/>
      <c r="C72" s="17"/>
      <c r="D72" s="4"/>
      <c r="E72" s="20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</row>
    <row r="73" spans="1:21" s="10" customFormat="1" x14ac:dyDescent="0.25">
      <c r="A73" s="13"/>
      <c r="B73"/>
      <c r="C73" s="17"/>
      <c r="D73" s="4"/>
      <c r="E73" s="20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1:21" s="10" customFormat="1" x14ac:dyDescent="0.25">
      <c r="A74" s="13"/>
      <c r="B74"/>
      <c r="C74" s="17"/>
      <c r="D74" s="4"/>
      <c r="E74" s="20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 s="10" customFormat="1" x14ac:dyDescent="0.25">
      <c r="A75" s="13"/>
      <c r="B75"/>
      <c r="C75" s="17"/>
      <c r="D75" s="4"/>
      <c r="E75" s="20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 s="10" customFormat="1" x14ac:dyDescent="0.25">
      <c r="A76" s="13"/>
      <c r="B76"/>
      <c r="C76" s="17"/>
      <c r="D76" s="4"/>
      <c r="E76" s="20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</sheetData>
  <mergeCells count="11">
    <mergeCell ref="A23:F23"/>
    <mergeCell ref="A27:E27"/>
    <mergeCell ref="A28:E28"/>
    <mergeCell ref="A29:B29"/>
    <mergeCell ref="A31:E31"/>
    <mergeCell ref="A30:B30"/>
    <mergeCell ref="H1:O1"/>
    <mergeCell ref="A3:F3"/>
    <mergeCell ref="A1:F1"/>
    <mergeCell ref="A4:F4"/>
    <mergeCell ref="A22:E22"/>
  </mergeCells>
  <pageMargins left="0.7" right="0.7" top="0.75" bottom="0.75" header="0.3" footer="0.3"/>
  <pageSetup scale="3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</vt:lpstr>
      <vt:lpstr>Main at Marina Lofts</vt:lpstr>
      <vt:lpstr>Main at Starr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Feng, Xianan</dc:creator>
  <cp:lastModifiedBy>Michael Stormer</cp:lastModifiedBy>
  <cp:lastPrinted>2026-02-09T14:56:33Z</cp:lastPrinted>
  <dcterms:created xsi:type="dcterms:W3CDTF">2015-06-05T18:17:20Z</dcterms:created>
  <dcterms:modified xsi:type="dcterms:W3CDTF">2026-02-09T14:59:27Z</dcterms:modified>
</cp:coreProperties>
</file>